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Serv" sheetId="1" state="visible" r:id="rId2"/>
    <sheet name="Líder que Exec." sheetId="2" state="visible" r:id="rId3"/>
    <sheet name="Eqto" sheetId="3" state="visible" r:id="rId4"/>
    <sheet name="Mat" sheetId="4" state="visible" r:id="rId5"/>
    <sheet name="Unif" sheetId="5" state="visible" r:id="rId6"/>
    <sheet name="Transp Altern" sheetId="6" state="visible" r:id="rId7"/>
    <sheet name="R$-m2" sheetId="7" state="visible" r:id="rId8"/>
  </sheets>
  <definedNames>
    <definedName function="false" hidden="false" localSheetId="1" name="_xlnm.Print_Area" vbProcedure="false">'Líder que Exec.'!$A$1:$E$144</definedName>
    <definedName function="false" hidden="false" localSheetId="6" name="_xlnm.Print_Area" vbProcedure="false">'R$-m2'!$A$1:$E$59</definedName>
    <definedName function="false" hidden="false" localSheetId="0" name="_xlnm.Print_Area" vbProcedure="false">Serv!$A$1:$E$144</definedName>
    <definedName function="false" hidden="false" name="Excel_BuiltIn_Print_Area_1" vbProcedure="false">#N/A</definedName>
    <definedName function="false" hidden="false" name="Excel_BuiltIn_Print_Area_1_2" vbProcedure="false">#N/A</definedName>
    <definedName function="false" hidden="false" name="Excel_BuiltIn_Print_Area_2" vbProcedure="false">#N/A</definedName>
    <definedName function="false" hidden="false" name="Excel_BuiltIn_Print_Area_2_2" vbProcedure="false">#N/A</definedName>
    <definedName function="false" hidden="false" name="Teste" vbProcedure="false">#N/A</definedName>
    <definedName function="false" hidden="false" name="__xlnm.Print_Area_1" vbProcedure="false">Serv!$A$1:$E$144</definedName>
    <definedName function="false" hidden="false" name="__xlnm.Print_Area_2" vbProcedure="false">#REF!</definedName>
    <definedName function="false" hidden="false" name="__xlnm.Print_Area_3" vbProcedure="false">#REF!</definedName>
    <definedName function="false" hidden="false" localSheetId="0" name="_xlnm.Print_Area" vbProcedure="false">Serv!$A$1:$E$144</definedName>
    <definedName function="false" hidden="false" localSheetId="0" name="_xlnm.Print_Area_0" vbProcedure="false">Serv!$A$1:$E$144</definedName>
    <definedName function="false" hidden="false" localSheetId="0" name="_xlnm.Print_Area_0_0" vbProcedure="false">Serv!$A$1:$E$144</definedName>
    <definedName function="false" hidden="false" localSheetId="0" name="_xlnm.Print_Area_0_0_0" vbProcedure="false">Serv!$A$1:$E$144</definedName>
    <definedName function="false" hidden="false" localSheetId="0" name="_xlnm.Print_Area_0_0_0_0" vbProcedure="false">Serv!$A$1:$E$144</definedName>
    <definedName function="false" hidden="false" localSheetId="0" name="_xlnm.Print_Area_0_0_0_0_0" vbProcedure="false">Serv!$A$1:$E$144</definedName>
    <definedName function="false" hidden="false" localSheetId="0" name="_xlnm.Print_Area_0_0_0_0_0_0" vbProcedure="false">Serv!$A$1:$E$144</definedName>
    <definedName function="false" hidden="false" localSheetId="0" name="_xlnm.Print_Area_0_0_0_0_0_0_0" vbProcedure="false">Serv!$A$1:$E$144</definedName>
    <definedName function="false" hidden="false" localSheetId="0" name="_xlnm.Print_Area_0_0_0_0_0_0_0_0" vbProcedure="false">Serv!$A$1:$E$144</definedName>
    <definedName function="false" hidden="false" localSheetId="0" name="_xlnm.Print_Area_0_0_0_0_0_0_0_0_0" vbProcedure="false">Serv!$A$1:$E$144</definedName>
    <definedName function="false" hidden="false" localSheetId="0" name="_xlnm.Print_Area_0_0_0_0_0_0_0_0_0_0" vbProcedure="false">Serv!$A$1:$E$144</definedName>
    <definedName function="false" hidden="false" localSheetId="0" name="_xlnm.Print_Area_0_0_0_0_0_0_0_0_0_0_0" vbProcedure="false">Serv!$A$1:$E$144</definedName>
    <definedName function="false" hidden="false" localSheetId="0" name="_xlnm.Print_Area_0_0_0_0_0_0_0_0_0_0_0_0" vbProcedure="false">Serv!$A$1:$E$144</definedName>
    <definedName function="false" hidden="false" localSheetId="0" name="_xlnm.Print_Area_0_0_0_0_0_0_0_0_0_0_0_0_0" vbProcedure="false">Serv!$A$1:$E$144</definedName>
    <definedName function="false" hidden="false" localSheetId="0" name="_xlnm.Print_Area_0_0_0_0_0_0_0_0_0_0_0_0_0_0" vbProcedure="false">Serv!$A$1:$E$144</definedName>
    <definedName function="false" hidden="false" localSheetId="0" name="_xlnm.Print_Area_0_0_0_0_0_0_0_0_0_0_0_0_0_0_0" vbProcedure="false">Serv!$A$1:$E$144</definedName>
    <definedName function="false" hidden="false" localSheetId="0" name="_xlnm.Print_Area_0_0_0_0_0_0_0_0_0_0_0_0_0_0_0_0" vbProcedure="false">Serv!$A$1:$E$144</definedName>
    <definedName function="false" hidden="false" localSheetId="0" name="_xlnm.Print_Area_0_0_0_0_0_0_0_0_0_0_0_0_0_0_0_0_0" vbProcedure="false">Serv!$A$1:$E$144</definedName>
    <definedName function="false" hidden="false" localSheetId="0" name="_xlnm.Print_Area_0_0_0_0_0_0_0_0_0_0_0_0_0_0_0_0_0_0" vbProcedure="false">Serv!$A$1:$E$144</definedName>
    <definedName function="false" hidden="false" localSheetId="0" name="_xlnm.Print_Area_0_0_0_0_0_0_0_0_0_0_0_0_0_0_0_0_0_0_0" vbProcedure="false">Serv!$A$1:$E$144</definedName>
    <definedName function="false" hidden="false" localSheetId="0" name="_xlnm.Print_Area_0_0_0_0_0_0_0_0_0_0_0_0_0_0_0_0_0_0_0_0" vbProcedure="false">Serv!$A$1:$E$144</definedName>
    <definedName function="false" hidden="false" localSheetId="0" name="_xlnm.Print_Area_0_0_0_0_0_0_0_0_0_0_0_0_0_0_0_0_0_0_0_0_0" vbProcedure="false">Serv!$A$1:$E$144</definedName>
    <definedName function="false" hidden="false" localSheetId="0" name="_xlnm.Print_Area_0_0_0_0_0_0_0_0_0_0_0_0_0_0_0_0_0_0_0_0_0_0" vbProcedure="false">Serv!$A$1:$E$144</definedName>
    <definedName function="false" hidden="false" localSheetId="0" name="_xlnm.Print_Area_0_0_0_0_0_0_0_0_0_0_0_0_0_0_0_0_0_0_0_0_0_0_0" vbProcedure="false">Serv!$A$1:$E$144</definedName>
    <definedName function="false" hidden="false" localSheetId="0" name="_xlnm.Print_Area_0_0_0_0_0_0_0_0_0_0_0_0_0_0_0_0_0_0_0_0_0_0_0_0" vbProcedure="false">Serv!$A$1:$E$144</definedName>
    <definedName function="false" hidden="false" localSheetId="0" name="_xlnm.Print_Area_0_0_0_0_0_0_0_0_0_0_0_0_0_0_0_0_0_0_0_0_0_0_0_0_0" vbProcedure="false">Serv!$A$1:$E$144</definedName>
    <definedName function="false" hidden="false" localSheetId="0" name="_xlnm.Print_Area_0_0_0_0_0_0_0_0_0_0_0_0_0_0_0_0_0_0_0_0_0_0_0_0_0_0" vbProcedure="false">Serv!$A$1:$E$144</definedName>
    <definedName function="false" hidden="false" localSheetId="0" name="_xlnm.Print_Area_0_0_0_0_0_0_0_0_0_0_0_0_0_0_0_0_0_0_0_0_0_0_0_0_0_0_0" vbProcedure="false">Serv!$A$1:$E$144</definedName>
    <definedName function="false" hidden="false" localSheetId="0" name="_xlnm.Print_Area_0_0_0_0_0_0_0_0_0_0_0_0_0_0_0_0_0_0_0_0_0_0_0_0_0_0_0_0" vbProcedure="false">Serv!$A$1:$E$144</definedName>
    <definedName function="false" hidden="false" localSheetId="0" name="_xlnm.Print_Area_0_0_0_0_0_0_0_0_0_0_0_0_0_0_0_0_0_0_0_0_0_0_0_0_0_0_0_0_0" vbProcedure="false">Serv!$A$1:$E$144</definedName>
    <definedName function="false" hidden="false" localSheetId="0" name="_xlnm.Print_Area_0_0_0_0_0_0_0_0_0_0_0_0_0_0_0_0_0_0_0_0_0_0_0_0_0_0_0_0_0_0" vbProcedure="false">Serv!$A$1:$E$144</definedName>
    <definedName function="false" hidden="false" localSheetId="0" name="_xlnm.Print_Area_0_0_0_0_0_0_0_0_0_0_0_0_0_0_0_0_0_0_0_0_0_0_0_0_0_0_0_0_0_0_0" vbProcedure="false">Serv!$A$1:$E$144</definedName>
    <definedName function="false" hidden="false" localSheetId="0" name="_xlnm.Print_Area_0_0_0_0_0_0_0_0_0_0_0_0_0_0_0_0_0_0_0_0_0_0_0_0_0_0_0_0_0_0_0_0" vbProcedure="false">Serv!$A$1:$E$144</definedName>
    <definedName function="false" hidden="false" localSheetId="0" name="_xlnm.Print_Area_0_0_0_0_0_0_0_0_0_0_0_0_0_0_0_0_0_0_0_0_0_0_0_0_0_0_0_0_0_0_0_0_0" vbProcedure="false">Serv!$A$1:$E$144</definedName>
    <definedName function="false" hidden="false" localSheetId="0" name="_xlnm.Print_Area_0_0_0_0_0_0_0_0_0_0_0_0_0_0_0_0_0_0_0_0_0_0_0_0_0_0_0_0_0_0_0_0_0_0" vbProcedure="false">Serv!$A$1:$E$144</definedName>
    <definedName function="false" hidden="false" localSheetId="0" name="_xlnm.Print_Area_0_0_0_0_0_0_0_0_0_0_0_0_0_0_0_0_0_0_0_0_0_0_0_0_0_0_0_0_0_0_0_0_0_0_0" vbProcedure="false">Serv!$A$1:$E$144</definedName>
    <definedName function="false" hidden="false" localSheetId="0" name="_xlnm.Print_Area_0_0_0_0_0_0_0_0_0_0_0_0_0_0_0_0_0_0_0_0_0_0_0_0_0_0_0_0_0_0_0_0_0_0_0_0" vbProcedure="false">Serv!$A$1:$E$144</definedName>
    <definedName function="false" hidden="false" localSheetId="0" name="_xlnm.Print_Area_0_0_0_0_0_0_0_0_0_0_0_0_0_0_0_0_0_0_0_0_0_0_0_0_0_0_0_0_0_0_0_0_0_0_0_0_0" vbProcedure="false">Serv!$A$1:$E$144</definedName>
    <definedName function="false" hidden="false" localSheetId="1" name="_xlnm.Print_Area" vbProcedure="false">'Líder que Exec.'!$A$1:$E$144</definedName>
    <definedName function="false" hidden="false" localSheetId="1" name="_xlnm.Print_Area_0" vbProcedure="false">'Líder que Exec.'!$A$1:$E$144</definedName>
    <definedName function="false" hidden="false" localSheetId="1" name="_xlnm.Print_Area_0_0" vbProcedure="false">'Líder que Exec.'!$A$1:$E$144</definedName>
    <definedName function="false" hidden="false" localSheetId="1" name="_xlnm.Print_Area_0_0_0" vbProcedure="false">'Líder que Exec.'!$A$1:$E$144</definedName>
    <definedName function="false" hidden="false" localSheetId="1" name="_xlnm.Print_Area_0_0_0_0" vbProcedure="false">'Líder que Exec.'!$A$1:$E$144</definedName>
    <definedName function="false" hidden="false" localSheetId="1" name="_xlnm.Print_Area_0_0_0_0_0" vbProcedure="false">'Líder que Exec.'!$A$1:$E$144</definedName>
    <definedName function="false" hidden="false" localSheetId="1" name="_xlnm.Print_Area_0_0_0_0_0_0" vbProcedure="false">'Líder que Exec.'!$A$1:$E$144</definedName>
    <definedName function="false" hidden="false" localSheetId="1" name="_xlnm.Print_Area_0_0_0_0_0_0_0" vbProcedure="false">'Líder que Exec.'!$A$1:$E$144</definedName>
    <definedName function="false" hidden="false" localSheetId="1" name="_xlnm.Print_Area_0_0_0_0_0_0_0_0" vbProcedure="false">'Líder que Exec.'!$A$1:$E$144</definedName>
    <definedName function="false" hidden="false" localSheetId="1" name="_xlnm.Print_Area_0_0_0_0_0_0_0_0_0" vbProcedure="false">'Líder que Exec.'!$A$1:$E$144</definedName>
    <definedName function="false" hidden="false" localSheetId="1" name="_xlnm.Print_Area_0_0_0_0_0_0_0_0_0_0" vbProcedure="false">'Líder que Exec.'!$A$1:$E$144</definedName>
    <definedName function="false" hidden="false" localSheetId="1" name="_xlnm.Print_Area_0_0_0_0_0_0_0_0_0_0_0" vbProcedure="false">'Líder que Exec.'!$A$1:$E$144</definedName>
    <definedName function="false" hidden="false" localSheetId="1" name="_xlnm.Print_Area_0_0_0_0_0_0_0_0_0_0_0_0" vbProcedure="false">'Líder que Exec.'!$A$1:$E$144</definedName>
    <definedName function="false" hidden="false" localSheetId="1" name="_xlnm.Print_Area_0_0_0_0_0_0_0_0_0_0_0_0_0" vbProcedure="false">'Líder que Exec.'!$A$1:$E$144</definedName>
    <definedName function="false" hidden="false" localSheetId="1" name="_xlnm.Print_Area_0_0_0_0_0_0_0_0_0_0_0_0_0_0" vbProcedure="false">'Líder que Exec.'!$A$1:$E$144</definedName>
    <definedName function="false" hidden="false" localSheetId="1" name="_xlnm.Print_Area_0_0_0_0_0_0_0_0_0_0_0_0_0_0_0" vbProcedure="false">'Líder que Exec.'!$A$1:$E$144</definedName>
    <definedName function="false" hidden="false" localSheetId="1" name="_xlnm.Print_Area_0_0_0_0_0_0_0_0_0_0_0_0_0_0_0_0" vbProcedure="false">'Líder que Exec.'!$A$1:$E$144</definedName>
    <definedName function="false" hidden="false" localSheetId="1" name="_xlnm.Print_Area_0_0_0_0_0_0_0_0_0_0_0_0_0_0_0_0_0" vbProcedure="false">'Líder que Exec.'!$A$1:$E$144</definedName>
    <definedName function="false" hidden="false" localSheetId="1" name="_xlnm.Print_Area_0_0_0_0_0_0_0_0_0_0_0_0_0_0_0_0_0_0" vbProcedure="false">'Líder que Exec.'!$A$1:$E$144</definedName>
    <definedName function="false" hidden="false" localSheetId="1" name="_xlnm.Print_Area_0_0_0_0_0_0_0_0_0_0_0_0_0_0_0_0_0_0_0" vbProcedure="false">'Líder que Exec.'!$A$1:$E$144</definedName>
    <definedName function="false" hidden="false" localSheetId="1" name="_xlnm.Print_Area_0_0_0_0_0_0_0_0_0_0_0_0_0_0_0_0_0_0_0_0" vbProcedure="false">'Líder que Exec.'!$A$1:$E$144</definedName>
    <definedName function="false" hidden="false" localSheetId="1" name="_xlnm.Print_Area_0_0_0_0_0_0_0_0_0_0_0_0_0_0_0_0_0_0_0_0_0" vbProcedure="false">'Líder que Exec.'!$A$1:$E$144</definedName>
    <definedName function="false" hidden="false" localSheetId="1" name="_xlnm.Print_Area_0_0_0_0_0_0_0_0_0_0_0_0_0_0_0_0_0_0_0_0_0_0" vbProcedure="false">'Líder que Exec.'!$A$1:$E$144</definedName>
    <definedName function="false" hidden="false" localSheetId="1" name="_xlnm.Print_Area_0_0_0_0_0_0_0_0_0_0_0_0_0_0_0_0_0_0_0_0_0_0_0" vbProcedure="false">'Líder que Exec.'!$A$1:$E$144</definedName>
    <definedName function="false" hidden="false" localSheetId="1" name="_xlnm.Print_Area_0_0_0_0_0_0_0_0_0_0_0_0_0_0_0_0_0_0_0_0_0_0_0_0" vbProcedure="false">'Líder que Exec.'!$A$1:$E$144</definedName>
    <definedName function="false" hidden="false" localSheetId="1" name="_xlnm.Print_Area_0_0_0_0_0_0_0_0_0_0_0_0_0_0_0_0_0_0_0_0_0_0_0_0_0" vbProcedure="false">'Líder que Exec.'!$A$1:$E$144</definedName>
    <definedName function="false" hidden="false" localSheetId="1" name="_xlnm.Print_Area_0_0_0_0_0_0_0_0_0_0_0_0_0_0_0_0_0_0_0_0_0_0_0_0_0_0" vbProcedure="false">'Líder que Exec.'!$A$1:$E$144</definedName>
    <definedName function="false" hidden="false" localSheetId="1" name="_xlnm.Print_Area_0_0_0_0_0_0_0_0_0_0_0_0_0_0_0_0_0_0_0_0_0_0_0_0_0_0_0" vbProcedure="false">'Líder que Exec.'!$A$1:$E$144</definedName>
    <definedName function="false" hidden="false" localSheetId="1" name="_xlnm.Print_Area_0_0_0_0_0_0_0_0_0_0_0_0_0_0_0_0_0_0_0_0_0_0_0_0_0_0_0_0" vbProcedure="false">'Líder que Exec.'!$A$1:$E$144</definedName>
    <definedName function="false" hidden="false" localSheetId="1" name="_xlnm.Print_Area_0_0_0_0_0_0_0_0_0_0_0_0_0_0_0_0_0_0_0_0_0_0_0_0_0_0_0_0_0" vbProcedure="false">'Líder que Exec.'!$A$1:$E$144</definedName>
    <definedName function="false" hidden="false" localSheetId="1" name="_xlnm.Print_Area_0_0_0_0_0_0_0_0_0_0_0_0_0_0_0_0_0_0_0_0_0_0_0_0_0_0_0_0_0_0" vbProcedure="false">'Líder que Exec.'!$A$1:$E$144</definedName>
    <definedName function="false" hidden="false" localSheetId="1" name="_xlnm.Print_Area_0_0_0_0_0_0_0_0_0_0_0_0_0_0_0_0_0_0_0_0_0_0_0_0_0_0_0_0_0_0_0" vbProcedure="false">'Líder que Exec.'!$A$1:$E$144</definedName>
    <definedName function="false" hidden="false" localSheetId="1" name="_xlnm.Print_Area_0_0_0_0_0_0_0_0_0_0_0_0_0_0_0_0_0_0_0_0_0_0_0_0_0_0_0_0_0_0_0_0" vbProcedure="false">'Líder que Exec.'!$A$1:$E$144</definedName>
    <definedName function="false" hidden="false" localSheetId="1" name="_xlnm.Print_Area_0_0_0_0_0_0_0_0_0_0_0_0_0_0_0_0_0_0_0_0_0_0_0_0_0_0_0_0_0_0_0_0_0" vbProcedure="false">'Líder que Exec.'!$A$1:$E$144</definedName>
    <definedName function="false" hidden="false" localSheetId="1" name="_xlnm.Print_Area_0_0_0_0_0_0_0_0_0_0_0_0_0_0_0_0_0_0_0_0_0_0_0_0_0_0_0_0_0_0_0_0_0_0" vbProcedure="false">'Líder que Exec.'!$A$1:$E$144</definedName>
    <definedName function="false" hidden="false" localSheetId="1" name="_xlnm.Print_Area_0_0_0_0_0_0_0_0_0_0_0_0_0_0_0_0_0_0_0_0_0_0_0_0_0_0_0_0_0_0_0_0_0_0_0" vbProcedure="false">'Líder que Exec.'!$A$1:$E$144</definedName>
    <definedName function="false" hidden="false" localSheetId="1" name="_xlnm.Print_Area_0_0_0_0_0_0_0_0_0_0_0_0_0_0_0_0_0_0_0_0_0_0_0_0_0_0_0_0_0_0_0_0_0_0_0_0" vbProcedure="false">'Líder que Exec.'!$A$1:$E$144</definedName>
    <definedName function="false" hidden="false" localSheetId="1" name="_xlnm.Print_Area_0_0_0_0_0_0_0_0_0_0_0_0_0_0_0_0_0_0_0_0_0_0_0_0_0_0_0_0_0_0_0_0_0_0_0_0_0" vbProcedure="false">'Líder que Exec.'!$A$1:$E$144</definedName>
    <definedName function="false" hidden="false" localSheetId="1" name="__xlnm.Print_Area_1" vbProcedure="false">'Líder que Exec.'!$A$1:$E$144</definedName>
    <definedName function="false" hidden="false" localSheetId="6" name="_xlnm.Print_Area" vbProcedure="false">'R$-m2'!$A$1:$E$59</definedName>
    <definedName function="false" hidden="false" localSheetId="6" name="_xlnm.Print_Area_0" vbProcedure="false">'R$-m2'!$A$1:$E$59</definedName>
    <definedName function="false" hidden="false" localSheetId="6" name="_xlnm.Print_Area_0_0" vbProcedure="false">'R$-m2'!$A$1:$E$59</definedName>
    <definedName function="false" hidden="false" localSheetId="6" name="_xlnm.Print_Area_0_0_0" vbProcedure="false">'R$-m2'!$A$1:$E$59</definedName>
    <definedName function="false" hidden="false" localSheetId="6" name="_xlnm.Print_Area_0_0_0_0" vbProcedure="false">'R$-m2'!$A$1:$E$59</definedName>
    <definedName function="false" hidden="false" localSheetId="6" name="_xlnm.Print_Area_0_0_0_0_0" vbProcedure="false">'R$-m2'!$A$1:$E$59</definedName>
    <definedName function="false" hidden="false" localSheetId="6" name="_xlnm.Print_Area_0_0_0_0_0_0" vbProcedure="false">'R$-m2'!$A$1:$E$59</definedName>
    <definedName function="false" hidden="false" localSheetId="6" name="_xlnm.Print_Area_0_0_0_0_0_0_0" vbProcedure="false">'R$-m2'!$A$1:$E$59</definedName>
    <definedName function="false" hidden="false" localSheetId="6" name="_xlnm.Print_Area_0_0_0_0_0_0_0_0" vbProcedure="false">'R$-m2'!$A$1:$E$59</definedName>
    <definedName function="false" hidden="false" localSheetId="6" name="_xlnm.Print_Area_0_0_0_0_0_0_0_0_0" vbProcedure="false">'R$-m2'!$A$1:$E$59</definedName>
    <definedName function="false" hidden="false" localSheetId="6" name="_xlnm.Print_Area_0_0_0_0_0_0_0_0_0_0" vbProcedure="false">'R$-m2'!$A$1:$E$59</definedName>
    <definedName function="false" hidden="false" localSheetId="6" name="_xlnm.Print_Area_0_0_0_0_0_0_0_0_0_0_0" vbProcedure="false">'R$-m2'!$A$1:$E$59</definedName>
    <definedName function="false" hidden="false" localSheetId="6" name="_xlnm.Print_Area_0_0_0_0_0_0_0_0_0_0_0_0" vbProcedure="false">'R$-m2'!$A$1:$E$59</definedName>
    <definedName function="false" hidden="false" localSheetId="6" name="_xlnm.Print_Area_0_0_0_0_0_0_0_0_0_0_0_0_0" vbProcedure="false">'R$-m2'!$A$1:$E$59</definedName>
    <definedName function="false" hidden="false" localSheetId="6" name="_xlnm.Print_Area_0_0_0_0_0_0_0_0_0_0_0_0_0_0" vbProcedure="false">'R$-m2'!$A$1:$E$59</definedName>
    <definedName function="false" hidden="false" localSheetId="6" name="_xlnm.Print_Area_0_0_0_0_0_0_0_0_0_0_0_0_0_0_0" vbProcedure="false">'R$-m2'!$A$1:$E$59</definedName>
    <definedName function="false" hidden="false" localSheetId="6" name="_xlnm.Print_Area_0_0_0_0_0_0_0_0_0_0_0_0_0_0_0_0" vbProcedure="false">'R$-m2'!$A$1:$E$59</definedName>
    <definedName function="false" hidden="false" localSheetId="6" name="_xlnm.Print_Area_0_0_0_0_0_0_0_0_0_0_0_0_0_0_0_0_0" vbProcedure="false">'R$-m2'!$A$1:$E$59</definedName>
    <definedName function="false" hidden="false" localSheetId="6" name="_xlnm.Print_Area_0_0_0_0_0_0_0_0_0_0_0_0_0_0_0_0_0_0" vbProcedure="false">'R$-m2'!$A$1:$E$59</definedName>
    <definedName function="false" hidden="false" localSheetId="6" name="_xlnm.Print_Area_0_0_0_0_0_0_0_0_0_0_0_0_0_0_0_0_0_0_0" vbProcedure="false">'R$-m2'!$A$1:$E$59</definedName>
    <definedName function="false" hidden="false" localSheetId="6" name="_xlnm.Print_Area_0_0_0_0_0_0_0_0_0_0_0_0_0_0_0_0_0_0_0_0" vbProcedure="false">'R$-m2'!$A$1:$E$59</definedName>
    <definedName function="false" hidden="false" localSheetId="6" name="_xlnm.Print_Area_0_0_0_0_0_0_0_0_0_0_0_0_0_0_0_0_0_0_0_0_0" vbProcedure="false">'R$-m2'!$A$1:$E$59</definedName>
    <definedName function="false" hidden="false" localSheetId="6" name="_xlnm.Print_Area_0_0_0_0_0_0_0_0_0_0_0_0_0_0_0_0_0_0_0_0_0_0" vbProcedure="false">'R$-m2'!$A$1:$E$59</definedName>
    <definedName function="false" hidden="false" localSheetId="6" name="_xlnm.Print_Area_0_0_0_0_0_0_0_0_0_0_0_0_0_0_0_0_0_0_0_0_0_0_0" vbProcedure="false">'R$-m2'!$A$1:$E$59</definedName>
    <definedName function="false" hidden="false" localSheetId="6" name="_xlnm.Print_Area_0_0_0_0_0_0_0_0_0_0_0_0_0_0_0_0_0_0_0_0_0_0_0_0" vbProcedure="false">'R$-m2'!$A$1:$E$59</definedName>
    <definedName function="false" hidden="false" localSheetId="6" name="_xlnm.Print_Area_0_0_0_0_0_0_0_0_0_0_0_0_0_0_0_0_0_0_0_0_0_0_0_0_0" vbProcedure="false">'R$-m2'!$A$1:$E$59</definedName>
    <definedName function="false" hidden="false" localSheetId="6" name="_xlnm.Print_Area_0_0_0_0_0_0_0_0_0_0_0_0_0_0_0_0_0_0_0_0_0_0_0_0_0_0" vbProcedure="false">'R$-m2'!$A$1:$E$59</definedName>
    <definedName function="false" hidden="false" localSheetId="6" name="_xlnm.Print_Area_0_0_0_0_0_0_0_0_0_0_0_0_0_0_0_0_0_0_0_0_0_0_0_0_0_0_0" vbProcedure="false">'R$-m2'!$A$1:$E$59</definedName>
    <definedName function="false" hidden="false" localSheetId="6" name="_xlnm.Print_Area_0_0_0_0_0_0_0_0_0_0_0_0_0_0_0_0_0_0_0_0_0_0_0_0_0_0_0_0" vbProcedure="false">'R$-m2'!$A$1:$E$59</definedName>
    <definedName function="false" hidden="false" localSheetId="6" name="_xlnm.Print_Area_0_0_0_0_0_0_0_0_0_0_0_0_0_0_0_0_0_0_0_0_0_0_0_0_0_0_0_0_0" vbProcedure="false">'R$-m2'!$A$1:$E$59</definedName>
    <definedName function="false" hidden="false" localSheetId="6" name="_xlnm.Print_Area_0_0_0_0_0_0_0_0_0_0_0_0_0_0_0_0_0_0_0_0_0_0_0_0_0_0_0_0_0_0" vbProcedure="false">'R$-m2'!$A$1:$E$59</definedName>
    <definedName function="false" hidden="false" localSheetId="6" name="_xlnm.Print_Area_0_0_0_0_0_0_0_0_0_0_0_0_0_0_0_0_0_0_0_0_0_0_0_0_0_0_0_0_0_0_0" vbProcedure="false">'R$-m2'!$A$1:$E$59</definedName>
    <definedName function="false" hidden="false" localSheetId="6" name="_xlnm.Print_Area_0_0_0_0_0_0_0_0_0_0_0_0_0_0_0_0_0_0_0_0_0_0_0_0_0_0_0_0_0_0_0_0" vbProcedure="false">'R$-m2'!$A$1:$E$59</definedName>
    <definedName function="false" hidden="false" localSheetId="6" name="_xlnm.Print_Area_0_0_0_0_0_0_0_0_0_0_0_0_0_0_0_0_0_0_0_0_0_0_0_0_0_0_0_0_0_0_0_0_0" vbProcedure="false">'R$-m2'!$A$1:$E$59</definedName>
    <definedName function="false" hidden="false" localSheetId="6" name="_xlnm.Print_Area_0_0_0_0_0_0_0_0_0_0_0_0_0_0_0_0_0_0_0_0_0_0_0_0_0_0_0_0_0_0_0_0_0_0" vbProcedure="false">'R$-m2'!$A$1:$E$59</definedName>
    <definedName function="false" hidden="false" localSheetId="6" name="_xlnm.Print_Area_0_0_0_0_0_0_0_0_0_0_0_0_0_0_0_0_0_0_0_0_0_0_0_0_0_0_0_0_0_0_0_0_0_0_0" vbProcedure="false">'R$-m2'!$A$1:$E$59</definedName>
    <definedName function="false" hidden="false" localSheetId="6" name="_xlnm.Print_Area_0_0_0_0_0_0_0_0_0_0_0_0_0_0_0_0_0_0_0_0_0_0_0_0_0_0_0_0_0_0_0_0_0_0_0_0" vbProcedure="false">'R$-m2'!$A$1:$E$59</definedName>
    <definedName function="false" hidden="false" localSheetId="6" name="_xlnm.Print_Area_0_0_0_0_0_0_0_0_0_0_0_0_0_0_0_0_0_0_0_0_0_0_0_0_0_0_0_0_0_0_0_0_0_0_0_0_0" vbProcedure="false">'R$-m2'!$A$1:$E$59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B105" authorId="0">
      <text>
        <r>
          <rPr>
            <sz val="10"/>
            <rFont val="Arial"/>
            <family val="2"/>
            <charset val="1"/>
          </rPr>
          <t xml:space="preserve">O percentual de tributos é aplicado sobre o faturamento</t>
        </r>
      </text>
    </comment>
    <comment ref="C7" authorId="0">
      <text>
        <r>
          <rPr>
            <sz val="10"/>
            <rFont val="Arial"/>
            <family val="2"/>
            <charset val="1"/>
          </rPr>
          <t xml:space="preserve">SEG - SAB: Dias trabalhados = 30,42 dias/mês * (6 dias (seg-sab) / 7 dias por semana) - [12 feriados * (probabilidade de não coincidir com domingo 6/7) / 12 meses] = 25,22 dias/mês</t>
        </r>
      </text>
    </comment>
    <comment ref="C15" authorId="0">
      <text>
        <r>
          <rPr>
            <sz val="10"/>
            <rFont val="Arial"/>
            <family val="2"/>
            <charset val="1"/>
          </rPr>
          <t xml:space="preserve">1ª Faixa Salarial CCT 2017 (SEAC-MT)</t>
        </r>
      </text>
    </comment>
    <comment ref="C16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17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18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19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20" authorId="0">
      <text>
        <r>
          <rPr>
            <sz val="10"/>
            <rFont val="Arial"/>
            <family val="2"/>
            <charset val="1"/>
          </rPr>
          <t xml:space="preserve">Jornada dos funcionários acompanha os dias úteis da instituição onde trabalha. </t>
        </r>
      </text>
    </comment>
    <comment ref="C21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22" authorId="0">
      <text>
        <r>
          <rPr>
            <sz val="10"/>
            <rFont val="Arial"/>
            <family val="2"/>
            <charset val="1"/>
          </rPr>
          <t xml:space="preserve">Gratificação por Assiduidade prevista na 1ª Faixa Salarial da CCT 2017 SEEAC-MT</t>
        </r>
      </text>
    </comment>
    <comment ref="C27" authorId="0">
      <text>
        <r>
          <rPr>
            <sz val="10"/>
            <rFont val="Arial"/>
            <family val="2"/>
            <charset val="1"/>
          </rPr>
          <t xml:space="preserve">Considerando que o Município de Pontes e Lacerda não dispõe de Transporte Coletivo regular, aplica-se a disposição constante na Cláusula Décima Quarta da CCT 2017 (Do Transporte Alternativo).
Dessa forma, o valor mensal do transporte alternativo é obtido da seguinte forma:
Transporte Alternativo = (Valor da bicicleta / 12) + bonificação mensal R$50,00.</t>
        </r>
      </text>
    </comment>
    <comment ref="C28" authorId="0">
      <text>
        <r>
          <rPr>
            <sz val="10"/>
            <rFont val="Arial"/>
            <family val="2"/>
            <charset val="1"/>
          </rPr>
          <t xml:space="preserve">CCT 2017 (12ª §1º) define R$ 14,00/dia. (§3º) As empresas cadastradas no PAT, só poderão descontar até 5% do auxílio alimentação dos associados ao sindicato laboral e até 20% dos não associados. Foi feito o calculo de 20% como não associado.
Cálculo: (R$ 14,00 - 20%) * 21,01 dias (Dias trabalhados no mês de segunda a sexta)</t>
        </r>
      </text>
    </comment>
    <comment ref="C29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30" authorId="0">
      <text>
        <r>
          <rPr>
            <sz val="10"/>
            <rFont val="Arial"/>
            <family val="2"/>
            <charset val="1"/>
          </rPr>
          <t xml:space="preserve">CCT 2017 incorpora a gratificação de assiduidade ao salário-base, já informado no Módulo 1</t>
        </r>
      </text>
    </comment>
    <comment ref="C31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32" authorId="0">
      <text>
        <r>
          <rPr>
            <sz val="10"/>
            <rFont val="Arial"/>
            <family val="2"/>
            <charset val="1"/>
          </rPr>
          <t xml:space="preserve">CLAUSULA 38ª  CCT 2017: SEGURO DE VIDA, EXAMES OCUPACIONAIS, TRATAMENTOS ODONTOLÓGICOS BASICOS, PCMSO</t>
        </r>
      </text>
    </comment>
    <comment ref="C33" authorId="0">
      <text>
        <r>
          <rPr>
            <sz val="10"/>
            <rFont val="Arial"/>
            <family val="2"/>
            <charset val="1"/>
          </rPr>
          <t xml:space="preserve">Clausula 13ª da CCT 2017</t>
        </r>
      </text>
    </comment>
    <comment ref="C38" authorId="0">
      <text>
        <r>
          <rPr>
            <sz val="10"/>
            <rFont val="Arial"/>
            <family val="2"/>
            <charset val="1"/>
          </rPr>
          <t xml:space="preserve">Referência: Custo Mensal de Uniformes (vide planilha específica)</t>
        </r>
      </text>
    </comment>
    <comment ref="C39" authorId="0">
      <text>
        <r>
          <rPr>
            <sz val="10"/>
            <color rgb="FF000000"/>
            <rFont val="Arial"/>
            <family val="2"/>
            <charset val="1"/>
          </rPr>
          <t xml:space="preserve">Referência: Custo Mensal de Uniformes (vide planilha específica)</t>
        </r>
      </text>
    </comment>
    <comment ref="C40" authorId="0">
      <text>
        <r>
          <rPr>
            <sz val="10"/>
            <rFont val="Arial"/>
            <family val="2"/>
            <charset val="1"/>
          </rPr>
          <t xml:space="preserve">Referência: Custo Mensal de Equipamentos (vide planilha específica)</t>
        </r>
      </text>
    </comment>
    <comment ref="C59" authorId="0">
      <text>
        <r>
          <rPr>
            <sz val="10"/>
            <rFont val="Arial"/>
            <family val="2"/>
            <charset val="1"/>
          </rPr>
          <t xml:space="preserve">13º= Uma remuneração anual
Cálculo= 1/12 = 8,33%</t>
        </r>
      </text>
    </comment>
    <comment ref="C60" authorId="0">
      <text>
        <r>
          <rPr>
            <sz val="10"/>
            <rFont val="Arial"/>
            <family val="2"/>
            <charset val="1"/>
          </rPr>
          <t xml:space="preserve">Adicional de Férias = 1/3 da Remuneração.
Cálculo=(1/3)/12 = 2,78%</t>
        </r>
      </text>
    </comment>
    <comment ref="C62" authorId="0">
      <text>
        <r>
          <rPr>
            <sz val="10"/>
            <rFont val="Arial"/>
            <family val="2"/>
            <charset val="1"/>
          </rPr>
          <t xml:space="preserve">Encargos Previdenciários e FGTS sobre 13º e Adicional de Férias.
Subtotal 4.2 * Percentual Total Modulo 4.1</t>
        </r>
      </text>
    </comment>
    <comment ref="C67" authorId="0">
      <text>
        <r>
          <rPr>
            <sz val="10"/>
            <rFont val="Arial"/>
            <family val="2"/>
            <charset val="1"/>
          </rPr>
          <t xml:space="preserve">Referência: Caderno Tecnico MPOG Limpeza MT 2016, pg 20:
Valores pagos durante a Licença: 
[Adicional Férias (provisão mensal) + 13º Salário (provisão mensal) +  Seguro de Vida] * 6 meses de licença * 50% de mulheres na atividade (Caderno Tecnico MPOG Limpeza MT 2016, pg 20) * 5% de taxa de maternidade em MT (Caderno Tecnico MPOG Limpeza MT 2016, pg 20).
Esse valor deve ser dividido por 12, para refletir o custo mensal.</t>
        </r>
      </text>
    </comment>
    <comment ref="C68" authorId="0">
      <text>
        <r>
          <rPr>
            <sz val="10"/>
            <rFont val="Arial"/>
            <family val="2"/>
            <charset val="1"/>
          </rPr>
          <t xml:space="preserve">Encargos Previdenciários e FGTS sobre Afastamento Maternidade.
Subtotal 4.3 * Percentual Total Modulo 4.1</t>
        </r>
      </text>
    </comment>
    <comment ref="C73" authorId="0">
      <text>
        <r>
          <rPr>
            <sz val="10"/>
            <rFont val="Arial"/>
            <family val="2"/>
            <charset val="1"/>
          </rPr>
          <t xml:space="preserve">{[0,05 x (1/12)] x100} = 0,417%
Considerando 5% de empregados substituídos durante o contrato</t>
        </r>
      </text>
    </comment>
    <comment ref="C74" authorId="0">
      <text>
        <r>
          <rPr>
            <sz val="10"/>
            <rFont val="Arial"/>
            <family val="2"/>
            <charset val="1"/>
          </rPr>
          <t xml:space="preserve">Aviso prévio indenizado * Percentual Total do Submódulo 4.1</t>
        </r>
      </text>
    </comment>
    <comment ref="C75" authorId="0">
      <text>
        <r>
          <rPr>
            <sz val="10"/>
            <rFont val="Arial"/>
            <family val="2"/>
            <charset val="1"/>
          </rPr>
          <t xml:space="preserve">Remuneração * (8% de FGTS) * 50% de multa do FGTS * 5% de funcionários demitidos com aviso prévio indenizado</t>
        </r>
      </text>
    </comment>
    <comment ref="C76" authorId="0">
      <text>
        <r>
          <rPr>
            <sz val="10"/>
            <rFont val="Arial"/>
            <family val="2"/>
            <charset val="1"/>
          </rPr>
          <t xml:space="preserve">{[(7/30)/12]x100} = 1,944%
7 dias de folga / 30 dias / 12 meses (vigência inicial do contrato) = provisão mensal para esse item de custo * remuneração mensal</t>
        </r>
      </text>
    </comment>
    <comment ref="C77" authorId="0">
      <text>
        <r>
          <rPr>
            <sz val="10"/>
            <rFont val="Arial"/>
            <family val="2"/>
            <charset val="1"/>
          </rPr>
          <t xml:space="preserve">Aviso prévio trabalhado * Percentual Total do Submódulo 4.1</t>
        </r>
      </text>
    </comment>
    <comment ref="C78" authorId="0">
      <text>
        <r>
          <rPr>
            <sz val="10"/>
            <rFont val="Arial"/>
            <family val="2"/>
            <charset val="1"/>
          </rPr>
          <t xml:space="preserve">Remuneração * (8% de FGTS) * 50% de multa do FGTS</t>
        </r>
      </text>
    </comment>
    <comment ref="C83" authorId="0">
      <text>
        <r>
          <rPr>
            <sz val="10"/>
            <rFont val="Arial"/>
            <family val="2"/>
            <charset val="1"/>
          </rPr>
          <t xml:space="preserve">01 Remuneração / 12 meses = 8,33%</t>
        </r>
      </text>
    </comment>
    <comment ref="C84" authorId="0">
      <text>
        <r>
          <rPr>
            <sz val="10"/>
            <rFont val="Arial"/>
            <family val="2"/>
            <charset val="1"/>
          </rPr>
          <t xml:space="preserve">Manual de Preenchimento de Planilhas do MPOG 2011 (pg 27): 1,66%</t>
        </r>
      </text>
    </comment>
    <comment ref="C85" authorId="0">
      <text>
        <r>
          <rPr>
            <sz val="10"/>
            <rFont val="Arial"/>
            <family val="2"/>
            <charset val="1"/>
          </rPr>
          <t xml:space="preserve">Manual de Preenchimento de Planilhas do MPOG 2011 (pg 27): 0,2%</t>
        </r>
      </text>
    </comment>
    <comment ref="C86" authorId="0">
      <text>
        <r>
          <rPr>
            <sz val="10"/>
            <rFont val="Arial"/>
            <family val="2"/>
            <charset val="1"/>
          </rPr>
          <t xml:space="preserve">Acordao TCU 1753-2008: Calcula, segundo estimativas do MPOG, em 2,96 dias por ano as ausências legais, calculando em 0,82% o impacto sobre a remuneração.
Cálculo= (2,96/30)/12.</t>
        </r>
      </text>
    </comment>
    <comment ref="C87" authorId="0">
      <text>
        <r>
          <rPr>
            <sz val="10"/>
            <rFont val="Arial"/>
            <family val="2"/>
            <charset val="1"/>
          </rPr>
          <t xml:space="preserve">Manual de Preenchimento de Planilhas do MPOG 2011 (pg 28): 0,03%</t>
        </r>
      </text>
    </comment>
    <comment ref="C89" authorId="0">
      <text>
        <r>
          <rPr>
            <sz val="10"/>
            <rFont val="Arial"/>
            <family val="2"/>
            <charset val="1"/>
          </rPr>
          <t xml:space="preserve">Soma do Custo de Reposição * Percentual total de submódulo 4.1</t>
        </r>
      </text>
    </comment>
    <comment ref="C104" authorId="0">
      <text>
        <r>
          <rPr>
            <sz val="10"/>
            <rFont val="Arial"/>
            <family val="2"/>
            <charset val="1"/>
          </rPr>
          <t xml:space="preserve">Referência: Pregões de outros </t>
        </r>
        <r>
          <rPr>
            <i val="true"/>
            <sz val="10"/>
            <color rgb="FF000000"/>
            <rFont val="Arial"/>
            <family val="2"/>
            <charset val="1"/>
          </rPr>
          <t xml:space="preserve">campi</t>
        </r>
        <r>
          <rPr>
            <sz val="10"/>
            <color rgb="FF000000"/>
            <rFont val="Arial"/>
            <family val="2"/>
            <charset val="1"/>
          </rPr>
          <t xml:space="preserve"> do IFMT</t>
        </r>
        <r>
          <rPr>
            <sz val="10"/>
            <rFont val="Arial"/>
            <family val="2"/>
            <charset val="1"/>
          </rPr>
          <t xml:space="preserve"> (Ex: PE 02/2017 da UASG 158498;= 5,52%, PE 01/2016 da UASG 158971 = 5%). 
O Atual contrato deste órgão é 3%.
Utilizando a média das 3 contratações, obtem-se o percentual de: 4,5%
</t>
        </r>
      </text>
    </comment>
    <comment ref="C106" authorId="0">
      <text>
        <r>
          <rPr>
            <sz val="10"/>
            <rFont val="Arial"/>
            <family val="2"/>
            <charset val="1"/>
          </rPr>
          <t xml:space="preserve">Referência: Os tributos (COFINS e PIS) foram definidos utilizando o regime de tributação de LUCRO REAL (Acórdão TCU 1753/2008-P).
A licitante deve elaborar sua proposta e, por conseguinte, sua planilha, com base no regime de tributação ao qual estará submetida durante a execução do contrato.</t>
        </r>
      </text>
    </comment>
    <comment ref="C108" authorId="0">
      <text>
        <r>
          <rPr>
            <sz val="10"/>
            <rFont val="Arial"/>
            <family val="2"/>
            <charset val="1"/>
          </rPr>
          <t xml:space="preserve">Manual de Preenchimento de Planilhas do MPOG 2011 (pg 33): 5,0%.
</t>
        </r>
        <r>
          <rPr>
            <sz val="10"/>
            <color rgb="FF000000"/>
            <rFont val="Arial"/>
            <family val="2"/>
            <charset val="1"/>
          </rPr>
          <t xml:space="preserve">A licitante deve elaborar sua proposta e, por conseguinte, sua planilha, com base no regime de tributação ao qual estará submetida durante a execução do contrato.</t>
        </r>
      </text>
    </comment>
    <comment ref="C110" authorId="0">
      <text>
        <r>
          <rPr>
            <sz val="10"/>
            <rFont val="Arial"/>
            <family val="2"/>
            <charset val="1"/>
          </rPr>
          <t xml:space="preserve">Referência: Pregões de outros campi do IFMT (Ex: PE 02/2017 da UASG 158498 = 9,25%; PE 01/2016 da UASG 158971 = 4,5).
 </t>
        </r>
        <r>
          <rPr>
            <sz val="10"/>
            <color rgb="FF000000"/>
            <rFont val="Arial"/>
            <family val="2"/>
            <charset val="1"/>
          </rPr>
          <t xml:space="preserve">O Atual contrato deste órgão é 3,11%.
Utilizando a média das 3 contratações, obtem-se o percentual de: 5,62%
</t>
        </r>
        <r>
          <rPr>
            <sz val="10"/>
            <rFont val="Arial"/>
            <family val="2"/>
            <charset val="1"/>
          </rPr>
          <t xml:space="preserve">
</t>
        </r>
      </text>
    </comment>
    <comment ref="C111" authorId="0">
      <text>
        <r>
          <rPr>
            <sz val="12"/>
            <rFont val="Times New Roman"/>
            <family val="1"/>
            <charset val="1"/>
          </rPr>
          <t xml:space="preserve">Esse percentual é compatível com o Caderno de Limpeza do MPOG para MT 2016, que prevê o mínimo de 5,52% e o máximo de 30,45% para o CITL.</t>
        </r>
      </text>
    </comment>
    <comment ref="D46" authorId="0">
      <text>
        <r>
          <rPr>
            <sz val="10"/>
            <rFont val="Arial"/>
            <family val="2"/>
            <charset val="1"/>
          </rPr>
          <t xml:space="preserve">Art. 22, Inciso I, da Lei nº 8.212/91.</t>
        </r>
      </text>
    </comment>
    <comment ref="D47" authorId="0">
      <text>
        <r>
          <rPr>
            <sz val="10"/>
            <rFont val="Arial"/>
            <family val="2"/>
            <charset val="1"/>
          </rPr>
          <t xml:space="preserve">Art. 3º, Lei n.º 8.036/90.</t>
        </r>
      </text>
    </comment>
    <comment ref="D48" authorId="0">
      <text>
        <r>
          <rPr>
            <sz val="10"/>
            <rFont val="Arial"/>
            <family val="2"/>
            <charset val="1"/>
          </rPr>
          <t xml:space="preserve">Decreto n.º 2.318/86</t>
        </r>
      </text>
    </comment>
    <comment ref="D49" authorId="0">
      <text>
        <r>
          <rPr>
            <sz val="10"/>
            <rFont val="Arial"/>
            <family val="2"/>
            <charset val="1"/>
          </rPr>
          <t xml:space="preserve">Lei n.º 7.787/89 e DL n.º 1.146/70.</t>
        </r>
      </text>
    </comment>
    <comment ref="D50" authorId="0">
      <text>
        <r>
          <rPr>
            <sz val="10"/>
            <rFont val="Arial"/>
            <family val="2"/>
            <charset val="1"/>
          </rPr>
          <t xml:space="preserve">Art. 3º, Inciso I, Decreto n.º 87.043/82.</t>
        </r>
      </text>
    </comment>
    <comment ref="D51" authorId="0">
      <text>
        <r>
          <rPr>
            <sz val="10"/>
            <rFont val="Arial"/>
            <family val="2"/>
            <charset val="1"/>
          </rPr>
          <t xml:space="preserve">Art. 15, Lei nº 8.030/90 e Art. 7º, III, CF.</t>
        </r>
      </text>
    </comment>
    <comment ref="D52" authorId="0">
      <text>
        <r>
          <rPr>
            <sz val="10"/>
            <rFont val="Arial"/>
            <family val="2"/>
            <charset val="1"/>
          </rPr>
          <t xml:space="preserve">RAT x FAP. 
1) RAT = 3% (Limpeza em prédios e em domicílios - código 8121-4/00 do Anexo V do Decreto n.º 3.048/1999). 
2) FAP = Máximo de Fator de Acidente Previdenciário = 2:
3% x 2 = 6% (maior valor possível)
A empresa deve utilizar o seu FAP efetivo, a ser comprovado no envio de sua proposta adequada ao lance vencedor, mediante apresentação da GFIP ou outro documento apto a fazê-lo.</t>
        </r>
      </text>
    </comment>
    <comment ref="D53" authorId="0">
      <text>
        <r>
          <rPr>
            <sz val="10"/>
            <rFont val="Arial"/>
            <family val="2"/>
            <charset val="1"/>
          </rPr>
          <t xml:space="preserve">Art. 8º, Lei n.º 8.029/90 e Lei n.º 8.154/90.</t>
        </r>
      </text>
    </comment>
    <comment ref="D104" authorId="0">
      <text>
        <r>
          <rPr>
            <sz val="10"/>
            <rFont val="Arial"/>
            <family val="2"/>
            <charset val="1"/>
          </rPr>
          <t xml:space="preserve">Custos indiretos incidem sobre o total de Remuneração + Benefícios + Encargos + Insumos</t>
        </r>
      </text>
    </comment>
    <comment ref="D106" authorId="0">
      <text>
        <r>
          <rPr>
            <sz val="10"/>
            <rFont val="Arial"/>
            <family val="2"/>
            <charset val="1"/>
          </rPr>
          <t xml:space="preserve">Apuração do Coeficiente:
1-([Federais + Municipais]/100) = "Coeficiente"
Cálculo:
Faturamento/Coeficiente x Aliquota</t>
        </r>
      </text>
    </comment>
    <comment ref="D108" authorId="0">
      <text>
        <r>
          <rPr>
            <sz val="10"/>
            <rFont val="Arial"/>
            <family val="2"/>
            <charset val="1"/>
          </rPr>
          <t xml:space="preserve">Apuração do Coeficiente:
1-([Federais + Municipais]/100) = "Coeficiente"
Cálculo:
Faturamento/Coeficiente x Aliquota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B106" authorId="0">
      <text>
        <r>
          <rPr>
            <sz val="10"/>
            <rFont val="Arial"/>
            <family val="2"/>
            <charset val="1"/>
          </rPr>
          <t xml:space="preserve">O percentual de tributos é aplicado sobre o faturamento</t>
        </r>
      </text>
    </comment>
    <comment ref="C7" authorId="0">
      <text>
        <r>
          <rPr>
            <sz val="10"/>
            <rFont val="Arial"/>
            <family val="2"/>
            <charset val="1"/>
          </rPr>
          <t xml:space="preserve">SEG - SAB: Dias trabalhados = 30,42 dias/mês * (6 dias (seg-sab) / 7 dias por semana) - [12 feriados * (probabilidade de não coincidir com domingo 6/7) / 12 meses] = 25,22 dias/mês</t>
        </r>
      </text>
    </comment>
    <comment ref="C15" authorId="0">
      <text>
        <r>
          <rPr>
            <sz val="10"/>
            <rFont val="Arial"/>
            <family val="2"/>
            <charset val="1"/>
          </rPr>
          <t xml:space="preserve">1ª Faixa Salarial CCT 2017 (SEAC-MT)</t>
        </r>
      </text>
    </comment>
    <comment ref="C16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17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18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19" authorId="0">
      <text>
        <r>
          <rPr>
            <sz val="10"/>
            <rFont val="Arial"/>
            <family val="2"/>
            <charset val="1"/>
          </rPr>
          <t xml:space="preserve">Não se Aplica.</t>
        </r>
      </text>
    </comment>
    <comment ref="C20" authorId="0">
      <text>
        <r>
          <rPr>
            <sz val="10"/>
            <rFont val="Arial"/>
            <family val="2"/>
            <charset val="1"/>
          </rPr>
          <t xml:space="preserve">Jornada dos funcionários acompanha os dias úteis da instituição onde trabalha. </t>
        </r>
      </text>
    </comment>
    <comment ref="C21" authorId="0">
      <text>
        <r>
          <rPr>
            <sz val="9"/>
            <color rgb="FF000000"/>
            <rFont val="Tahoma"/>
            <family val="2"/>
            <charset val="1"/>
          </rPr>
          <t xml:space="preserve">Conforme CCT 2017: 
11  a  20  empregados  –  piso  da  categoria  +  grat if icação de função de 35%.
</t>
        </r>
      </text>
    </comment>
    <comment ref="C22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23" authorId="0">
      <text>
        <r>
          <rPr>
            <sz val="10"/>
            <rFont val="Arial"/>
            <family val="2"/>
            <charset val="1"/>
          </rPr>
          <t xml:space="preserve">Gratificação por Assiduidade prevista na 1ª Faixa Salarial da CCT 2017 SEEAC-MT</t>
        </r>
      </text>
    </comment>
    <comment ref="C28" authorId="0">
      <text>
        <r>
          <rPr>
            <sz val="10"/>
            <color rgb="FF000000"/>
            <rFont val="Arial"/>
            <family val="2"/>
            <charset val="1"/>
          </rPr>
          <t xml:space="preserve">Considerando que o Município de Pontes e Lacerda não dispõe de Transporte Coletivo regular, aplica-se a disposição constante na Cláusula Décima Quarta da CCT 2017 (Do Transporte Alternativo).
Dessa forma, o valor mensal do transporte alternativo é obtido da seguinte forma:
Transporte Alternativo = (Valor da bicicleta / 12) + bonificação mensal R$50,00.</t>
        </r>
      </text>
    </comment>
    <comment ref="C29" authorId="0">
      <text>
        <r>
          <rPr>
            <sz val="10"/>
            <color rgb="FF000000"/>
            <rFont val="Arial"/>
            <family val="2"/>
            <charset val="1"/>
          </rPr>
          <t xml:space="preserve">CCT 2017 (12ª §1º) define R$ 14,00/dia. (§3º) As empresas cadastradas no PAT, só poderão descontar até 5% do auxílio alimentação dos associados ao sindicato laboral e até 20% dos não associados. Foi feito o calculo de 20% como não associado.
Cálculo: (R$ 14,00 - 20%) * 21,01 dias (Dias trabalhados no mês de segunda a sexta)</t>
        </r>
      </text>
    </comment>
    <comment ref="C30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31" authorId="0">
      <text>
        <r>
          <rPr>
            <sz val="10"/>
            <rFont val="Arial"/>
            <family val="2"/>
            <charset val="1"/>
          </rPr>
          <t xml:space="preserve">CCT 2016 incorpora a gratificação de assiduidade ao salário-base, já informado no Módulo 1</t>
        </r>
      </text>
    </comment>
    <comment ref="C32" authorId="0">
      <text>
        <r>
          <rPr>
            <sz val="10"/>
            <rFont val="Arial"/>
            <family val="2"/>
            <charset val="1"/>
          </rPr>
          <t xml:space="preserve">Não se aplica</t>
        </r>
      </text>
    </comment>
    <comment ref="C33" authorId="0">
      <text>
        <r>
          <rPr>
            <sz val="10"/>
            <color rgb="FF000000"/>
            <rFont val="Arial"/>
            <family val="2"/>
            <charset val="1"/>
          </rPr>
          <t xml:space="preserve">CLAUSULA 38ª  CCT 2017: SEGURO DE VIDA, EXAMES OCUPACIONAIS, TRATAMENTOS ODONTOLÓGICOS BASICOS, PCMSO</t>
        </r>
      </text>
    </comment>
    <comment ref="C34" authorId="0">
      <text>
        <r>
          <rPr>
            <sz val="10"/>
            <rFont val="Arial"/>
            <family val="2"/>
            <charset val="1"/>
          </rPr>
          <t xml:space="preserve">Clausula 13ª da CCT 2017</t>
        </r>
      </text>
    </comment>
    <comment ref="C39" authorId="0">
      <text>
        <r>
          <rPr>
            <sz val="10"/>
            <rFont val="Arial"/>
            <family val="2"/>
            <charset val="1"/>
          </rPr>
          <t xml:space="preserve">Referência: Custo Mensal de Uniformes (vide planilha específica)</t>
        </r>
      </text>
    </comment>
    <comment ref="C40" authorId="0">
      <text>
        <r>
          <rPr>
            <sz val="10"/>
            <color rgb="FF000000"/>
            <rFont val="Arial"/>
            <family val="2"/>
            <charset val="1"/>
          </rPr>
          <t xml:space="preserve">Referência: Custo Mensal de Uniformes (vide planilha específica)</t>
        </r>
      </text>
    </comment>
    <comment ref="C41" authorId="0">
      <text>
        <r>
          <rPr>
            <sz val="10"/>
            <rFont val="Arial"/>
            <family val="2"/>
            <charset val="1"/>
          </rPr>
          <t xml:space="preserve">Referência: Custo Mensal de Equipamentos (vide planilha específica)</t>
        </r>
      </text>
    </comment>
    <comment ref="C60" authorId="0">
      <text>
        <r>
          <rPr>
            <sz val="10"/>
            <rFont val="Arial"/>
            <family val="2"/>
            <charset val="1"/>
          </rPr>
          <t xml:space="preserve">13º= Uma remuneração anual
Cálculo= 1/12 = 8,33%</t>
        </r>
      </text>
    </comment>
    <comment ref="C61" authorId="0">
      <text>
        <r>
          <rPr>
            <sz val="10"/>
            <rFont val="Arial"/>
            <family val="2"/>
            <charset val="1"/>
          </rPr>
          <t xml:space="preserve">Adicional de Férias = 1/3 da Remuneração.
Cálculo=(1/3)/12 = 2,78%</t>
        </r>
      </text>
    </comment>
    <comment ref="C63" authorId="0">
      <text>
        <r>
          <rPr>
            <sz val="10"/>
            <rFont val="Arial"/>
            <family val="2"/>
            <charset val="1"/>
          </rPr>
          <t xml:space="preserve">Encargos Previdenciários e FGTS sobre 13º e Adicional de Férias.
Subtotal 4.2 * Percentual Total Modulo 4.1</t>
        </r>
      </text>
    </comment>
    <comment ref="C68" authorId="0">
      <text>
        <r>
          <rPr>
            <sz val="10"/>
            <color rgb="FF000000"/>
            <rFont val="Arial"/>
            <family val="2"/>
            <charset val="1"/>
          </rPr>
          <t xml:space="preserve">Referência: Caderno Tecnico MPOG Limpeza MT 2016, pg 20:
Valores pagos durante a Licença: 
[Adicional Férias (provisão mensal) + 13º Salário (provisão mensal) +  Seguro de Vida] * 6 meses de licença * 50% de mulheres na atividade (Caderno Tecnico MPOG Limpeza MT 2016, pg 20) * 5% de taxa de maternidade em MT (Caderno Tecnico MPOG Limpeza MT 2016, pg 20).
Esse valor deve ser dividido por 12, para refletir o custo mensal.</t>
        </r>
      </text>
    </comment>
    <comment ref="C69" authorId="0">
      <text>
        <r>
          <rPr>
            <sz val="10"/>
            <rFont val="Arial"/>
            <family val="2"/>
            <charset val="1"/>
          </rPr>
          <t xml:space="preserve">Encargos Previdenciários e FGTS sobre Afastamento Maternidade.
Subtotal 4.3 * Percentual Total Modulo 4.1</t>
        </r>
      </text>
    </comment>
    <comment ref="C74" authorId="0">
      <text>
        <r>
          <rPr>
            <sz val="10"/>
            <rFont val="Arial"/>
            <family val="2"/>
            <charset val="1"/>
          </rPr>
          <t xml:space="preserve">{[0,05 x (1/12)] x100} = 0,417%
Considerando 5% de empregados substituídos durante o contrato</t>
        </r>
      </text>
    </comment>
    <comment ref="C75" authorId="0">
      <text>
        <r>
          <rPr>
            <sz val="10"/>
            <rFont val="Arial"/>
            <family val="2"/>
            <charset val="1"/>
          </rPr>
          <t xml:space="preserve">Aviso prévio indenizado * Percentual Total do Submódulo 4.1</t>
        </r>
      </text>
    </comment>
    <comment ref="C76" authorId="0">
      <text>
        <r>
          <rPr>
            <sz val="10"/>
            <rFont val="Arial"/>
            <family val="2"/>
            <charset val="1"/>
          </rPr>
          <t xml:space="preserve">Remuneração * (8% de FGTS) * 50% de multa do FGTS * 5% de funcionários demitidos com aviso prévio indenizado</t>
        </r>
      </text>
    </comment>
    <comment ref="C77" authorId="0">
      <text>
        <r>
          <rPr>
            <sz val="10"/>
            <rFont val="Arial"/>
            <family val="2"/>
            <charset val="1"/>
          </rPr>
          <t xml:space="preserve">{[(7/30)/12]x100} = 1,944%
7 dias de folga / 30 dias / 12 meses (vigência inicial do contrato) = provisão mensal para esse item de custo * remuneração mensal</t>
        </r>
      </text>
    </comment>
    <comment ref="C78" authorId="0">
      <text>
        <r>
          <rPr>
            <sz val="10"/>
            <rFont val="Arial"/>
            <family val="2"/>
            <charset val="1"/>
          </rPr>
          <t xml:space="preserve">Aviso prévio trabalhado * Percentual Total do Submódulo 4.1</t>
        </r>
      </text>
    </comment>
    <comment ref="C79" authorId="0">
      <text>
        <r>
          <rPr>
            <sz val="10"/>
            <rFont val="Arial"/>
            <family val="2"/>
            <charset val="1"/>
          </rPr>
          <t xml:space="preserve">Remuneração * (8% de FGTS) * 50% de multa do FGTS</t>
        </r>
      </text>
    </comment>
    <comment ref="C84" authorId="0">
      <text>
        <r>
          <rPr>
            <sz val="10"/>
            <rFont val="Arial"/>
            <family val="2"/>
            <charset val="1"/>
          </rPr>
          <t xml:space="preserve">01 Remuneração / 12 meses = 8,33%</t>
        </r>
      </text>
    </comment>
    <comment ref="C85" authorId="0">
      <text>
        <r>
          <rPr>
            <sz val="10"/>
            <rFont val="Arial"/>
            <family val="2"/>
            <charset val="1"/>
          </rPr>
          <t xml:space="preserve">Manual de Preenchimento de Planilhas do MPOG 2011 (pg 27): 1,66%</t>
        </r>
      </text>
    </comment>
    <comment ref="C86" authorId="0">
      <text>
        <r>
          <rPr>
            <sz val="10"/>
            <rFont val="Arial"/>
            <family val="2"/>
            <charset val="1"/>
          </rPr>
          <t xml:space="preserve">Manual de Preenchimento de Planilhas do MPOG 2011 (pg 27): 0,2%</t>
        </r>
      </text>
    </comment>
    <comment ref="C87" authorId="0">
      <text>
        <r>
          <rPr>
            <sz val="10"/>
            <rFont val="Arial"/>
            <family val="2"/>
            <charset val="1"/>
          </rPr>
          <t xml:space="preserve">Acordao TCU 1753-2008: Calcula, segundo estimativas do MPOG, em 2,96 dias por ano as ausências legais, calculando em 0,82% o impacto sobre a remuneração.
Cálculo= (2,96/30)/12.</t>
        </r>
      </text>
    </comment>
    <comment ref="C88" authorId="0">
      <text>
        <r>
          <rPr>
            <sz val="10"/>
            <rFont val="Arial"/>
            <family val="2"/>
            <charset val="1"/>
          </rPr>
          <t xml:space="preserve">Manual de Preenchimento de Planilhas do MPOG 2011 (pg 28): 0,03%</t>
        </r>
      </text>
    </comment>
    <comment ref="C90" authorId="0">
      <text>
        <r>
          <rPr>
            <sz val="10"/>
            <rFont val="Arial"/>
            <family val="2"/>
            <charset val="1"/>
          </rPr>
          <t xml:space="preserve">Soma do Custo de Reposição * Percentual total de submódulo 4.1</t>
        </r>
      </text>
    </comment>
    <comment ref="C105" authorId="0">
      <text>
        <r>
          <rPr>
            <sz val="10"/>
            <rFont val="Arial"/>
            <family val="2"/>
            <charset val="1"/>
          </rPr>
          <t xml:space="preserve">Referência: Pregões de outros </t>
        </r>
        <r>
          <rPr>
            <i val="true"/>
            <sz val="10"/>
            <color rgb="FF000000"/>
            <rFont val="Arial"/>
            <family val="2"/>
            <charset val="1"/>
          </rPr>
          <t xml:space="preserve">campi</t>
        </r>
        <r>
          <rPr>
            <sz val="10"/>
            <color rgb="FF000000"/>
            <rFont val="Arial"/>
            <family val="2"/>
            <charset val="1"/>
          </rPr>
          <t xml:space="preserve"> do IFMT (Ex: PE 02/2017 da UASG 158498;= 5,52%, PE 01/2016 da UASG 158971 = 5%). 
O Atual contrato deste órgão é 3%.
Utilizando a média das 3 contratações, obtem-se o percentual de: 4,5%</t>
        </r>
      </text>
    </comment>
    <comment ref="C107" authorId="0">
      <text>
        <r>
          <rPr>
            <sz val="10"/>
            <rFont val="Arial"/>
            <family val="2"/>
            <charset val="1"/>
          </rPr>
          <t xml:space="preserve">Referência: Os tributos (COFINS e PIS) foram definidos utilizando o regime de tributação de LUCRO REAL (Acórdão TCU 1753/2008-P).
A licitante deve elaborar sua proposta e, por conseguinte, sua planilha, com base no regime de tributação ao qual estará submetida durante a execução do contrato.</t>
        </r>
      </text>
    </comment>
    <comment ref="C109" authorId="0">
      <text>
        <r>
          <rPr>
            <sz val="10"/>
            <rFont val="Arial"/>
            <family val="2"/>
            <charset val="1"/>
          </rPr>
          <t xml:space="preserve">Manual de Preenchimento de Planilhas do MPOG 2011 (pg 33): 5,0%.
A licitante deve elaborar sua proposta e, por conseguinte, sua planilha, com base no regime de tributação ao qual estará submetida durante a execução do contrato.</t>
        </r>
      </text>
    </comment>
    <comment ref="C111" authorId="0">
      <text>
        <r>
          <rPr>
            <sz val="10"/>
            <color rgb="FF000000"/>
            <rFont val="Arial"/>
            <family val="2"/>
            <charset val="1"/>
          </rPr>
          <t xml:space="preserve">Referência: Pregões de outros campi do IFMT (Ex: PE 02/2017 da UASG 158498 = 9,25%; PE 01/2016 da UASG 158971 = 4,5).
 O Atual contrato deste órgão é 3,11%.
Utilizando a média das 3 contratações, obtem-se o percentual de: 5,62%
</t>
        </r>
      </text>
    </comment>
    <comment ref="D47" authorId="0">
      <text>
        <r>
          <rPr>
            <sz val="10"/>
            <rFont val="Arial"/>
            <family val="2"/>
            <charset val="1"/>
          </rPr>
          <t xml:space="preserve">Art. 22, Inciso I, da Lei nº 8.212/91.</t>
        </r>
      </text>
    </comment>
    <comment ref="D48" authorId="0">
      <text>
        <r>
          <rPr>
            <sz val="10"/>
            <rFont val="Arial"/>
            <family val="2"/>
            <charset val="1"/>
          </rPr>
          <t xml:space="preserve">Art. 3º, Lei n.º 8.036/90.</t>
        </r>
      </text>
    </comment>
    <comment ref="D49" authorId="0">
      <text>
        <r>
          <rPr>
            <sz val="10"/>
            <rFont val="Arial"/>
            <family val="2"/>
            <charset val="1"/>
          </rPr>
          <t xml:space="preserve">Decreto n.º 2.318/86</t>
        </r>
      </text>
    </comment>
    <comment ref="D50" authorId="0">
      <text>
        <r>
          <rPr>
            <sz val="10"/>
            <rFont val="Arial"/>
            <family val="2"/>
            <charset val="1"/>
          </rPr>
          <t xml:space="preserve">Lei n.º 7.787/89 e DL n.º 1.146/70.</t>
        </r>
      </text>
    </comment>
    <comment ref="D51" authorId="0">
      <text>
        <r>
          <rPr>
            <sz val="10"/>
            <rFont val="Arial"/>
            <family val="2"/>
            <charset val="1"/>
          </rPr>
          <t xml:space="preserve">Art. 3º, Inciso I, Decreto n.º 87.043/82.</t>
        </r>
      </text>
    </comment>
    <comment ref="D52" authorId="0">
      <text>
        <r>
          <rPr>
            <sz val="10"/>
            <rFont val="Arial"/>
            <family val="2"/>
            <charset val="1"/>
          </rPr>
          <t xml:space="preserve">Art. 15, Lei nº 8.030/90 e Art. 7º, III, CF.</t>
        </r>
      </text>
    </comment>
    <comment ref="D53" authorId="0">
      <text>
        <r>
          <rPr>
            <sz val="10"/>
            <rFont val="Arial"/>
            <family val="2"/>
            <charset val="1"/>
          </rPr>
          <t xml:space="preserve">RAT x FAP. 
1) RAT = 3% (Limpeza em prédios e em domicílios - código 8121-4/00 do Anexo V do Decreto n.º 3.048/1999). 
2) FAP = Máximo de Fator de Acidente Previdenciário = 2:
3% x 2 = 6% (maior valor possível)
A empresa deve utilizar o seu FAP efetivo, a ser comprovado no envio de sua proposta adequada ao lance vencedor, mediante apresentação da GFIP ou outro documento apto a fazê-lo.</t>
        </r>
      </text>
    </comment>
    <comment ref="D54" authorId="0">
      <text>
        <r>
          <rPr>
            <sz val="10"/>
            <rFont val="Arial"/>
            <family val="2"/>
            <charset val="1"/>
          </rPr>
          <t xml:space="preserve">Art. 8º, Lei n.º 8.029/90 e Lei n.º 8.154/90.</t>
        </r>
      </text>
    </comment>
    <comment ref="D105" authorId="0">
      <text>
        <r>
          <rPr>
            <sz val="10"/>
            <rFont val="Arial"/>
            <family val="2"/>
            <charset val="1"/>
          </rPr>
          <t xml:space="preserve">Custos indiretos incidem sobre o total de Remuneração + Benefícios + Encargos + Insumos</t>
        </r>
      </text>
    </comment>
    <comment ref="D107" authorId="0">
      <text>
        <r>
          <rPr>
            <sz val="10"/>
            <rFont val="Arial"/>
            <family val="2"/>
            <charset val="1"/>
          </rPr>
          <t xml:space="preserve">Apuração do Coeficiente:
1-([Federais + Municipais]/100) = "Coeficiente"
Cálculo:
Faturamento/Coeficiente x Aliquota</t>
        </r>
      </text>
    </comment>
    <comment ref="D109" authorId="0">
      <text>
        <r>
          <rPr>
            <sz val="10"/>
            <rFont val="Arial"/>
            <family val="2"/>
            <charset val="1"/>
          </rPr>
          <t xml:space="preserve">Apuração do Coeficiente:
1-([Federais + Municipais]/100) = "Coeficiente"
Cálculo:
Faturamento/Coeficiente x Aliquota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I3" authorId="0">
      <text>
        <r>
          <rPr>
            <sz val="10"/>
            <rFont val="Arial"/>
            <family val="2"/>
            <charset val="1"/>
          </rPr>
          <t xml:space="preserve">A taxa de manutenção (0,25% a.m.) é a sugerida no artigo “Formação de preços dos serviços contínuos a serem terceirizados na Administração Pública” da Revista Zênite</t>
        </r>
      </text>
    </comment>
    <comment ref="J7" authorId="0">
      <text>
        <r>
          <rPr>
            <sz val="10"/>
            <rFont val="Arial"/>
            <family val="2"/>
            <charset val="1"/>
          </rPr>
          <t xml:space="preserve">Considerados 6 discos pretos e 6 discos verdes por ano ao custo de R$ 23,50/cada</t>
        </r>
      </text>
    </comment>
    <comment ref="M20" authorId="0">
      <text>
        <r>
          <rPr>
            <sz val="10"/>
            <color rgb="FF000000"/>
            <rFont val="Arial"/>
            <family val="2"/>
            <charset val="1"/>
          </rPr>
          <t xml:space="preserve">Valor Mensal dividido por 11 serventes (estimativa de pessoal conforme produtividades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H32" authorId="0">
      <text>
        <r>
          <rPr>
            <sz val="10"/>
            <rFont val="Arial"/>
            <family val="2"/>
            <charset val="1"/>
          </rPr>
          <t xml:space="preserve">Valor Mensal dividido por 11 serventes (estimativa de pessoal conforme produtividades)</t>
        </r>
      </text>
    </comment>
    <comment ref="I73" authorId="0">
      <text>
        <r>
          <rPr>
            <sz val="10"/>
            <color rgb="FF000000"/>
            <rFont val="Arial"/>
            <family val="2"/>
            <charset val="1"/>
          </rPr>
          <t xml:space="preserve">Valor Mensal dividido por 11 serventes (estimativa de pessoal conforme produtividades)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/>
  </authors>
  <commentList>
    <comment ref="H8" authorId="0">
      <text>
        <r>
          <rPr>
            <sz val="10"/>
            <color rgb="FF000000"/>
            <rFont val="Arial"/>
            <family val="2"/>
            <charset val="1"/>
          </rPr>
          <t xml:space="preserve">Valor Anual dividido por 12 meses.</t>
        </r>
      </text>
    </comment>
  </commentList>
</comments>
</file>

<file path=xl/sharedStrings.xml><?xml version="1.0" encoding="utf-8"?>
<sst xmlns="http://schemas.openxmlformats.org/spreadsheetml/2006/main" count="499" uniqueCount="266">
  <si>
    <t xml:space="preserve">ANEXO 
MÃO-DE-OBRA
MÃO-DE-OBRA VINCULADA À EXECUÇÃO CONTRATUAL</t>
  </si>
  <si>
    <t xml:space="preserve">Data de Apresentação da Proposta</t>
  </si>
  <si>
    <t xml:space="preserve">Pregão nº</t>
  </si>
  <si>
    <t xml:space="preserve">01/2017 (UASG 158495)</t>
  </si>
  <si>
    <t xml:space="preserve">Tipo de serviço</t>
  </si>
  <si>
    <t xml:space="preserve">Limpeza Predial - Seg a Sab (44h)</t>
  </si>
  <si>
    <t xml:space="preserve">Quantidade de Dias Trabalhados por Mês</t>
  </si>
  <si>
    <t xml:space="preserve">Salário Normativo da Categoria Profissional</t>
  </si>
  <si>
    <t xml:space="preserve">Categoria profissional </t>
  </si>
  <si>
    <t xml:space="preserve">Servente (1ª Faixa CCT MT000018/2017 Seeac-MT)</t>
  </si>
  <si>
    <t xml:space="preserve">Data base da categoria</t>
  </si>
  <si>
    <t xml:space="preserve">MÓDULO 1 : COMPOSIÇÃO DA REMUNERAÇÃO</t>
  </si>
  <si>
    <t xml:space="preserve">Composição da Remuneração</t>
  </si>
  <si>
    <t xml:space="preserve">Valor(R$)</t>
  </si>
  <si>
    <t xml:space="preserve">Salário Base</t>
  </si>
  <si>
    <t xml:space="preserve">Adicional noturno</t>
  </si>
  <si>
    <t xml:space="preserve">Hora Noturna Adicional</t>
  </si>
  <si>
    <t xml:space="preserve">Periculosidade</t>
  </si>
  <si>
    <t xml:space="preserve">Insalubridade</t>
  </si>
  <si>
    <t xml:space="preserve">Adicional de Hora Extra</t>
  </si>
  <si>
    <t xml:space="preserve">Adicional de risco de vida</t>
  </si>
  <si>
    <t xml:space="preserve">Outros adicionais (Assiduidade) </t>
  </si>
  <si>
    <t xml:space="preserve">Total de Remuneração</t>
  </si>
  <si>
    <t xml:space="preserve">MÓDULO 2: BENEFÍCIOS MENSAIS E DIÁRIOS</t>
  </si>
  <si>
    <t xml:space="preserve">Benefícios Mensais e Diários</t>
  </si>
  <si>
    <t xml:space="preserve">Transporte</t>
  </si>
  <si>
    <t xml:space="preserve">Auxílio Alimentação</t>
  </si>
  <si>
    <t xml:space="preserve">Intrajornada</t>
  </si>
  <si>
    <t xml:space="preserve">Prêmio Assiduidade</t>
  </si>
  <si>
    <t xml:space="preserve">Programa Assist Social</t>
  </si>
  <si>
    <t xml:space="preserve">Seguro de Vida em Grupo + PCMSO</t>
  </si>
  <si>
    <t xml:space="preserve">Cesta Básica</t>
  </si>
  <si>
    <t xml:space="preserve">Total de Benefícios Mensais e Diários</t>
  </si>
  <si>
    <t xml:space="preserve">MÓDULO 3: INSUMOS DIVERSOS</t>
  </si>
  <si>
    <t xml:space="preserve">Insumos Diversos</t>
  </si>
  <si>
    <t xml:space="preserve">Uniformes</t>
  </si>
  <si>
    <t xml:space="preserve">Materiais</t>
  </si>
  <si>
    <t xml:space="preserve">Equipamentos</t>
  </si>
  <si>
    <t xml:space="preserve">Total de Insumos Diversos</t>
  </si>
  <si>
    <t xml:space="preserve">MÓDULO 4: ENCARGOS SOCIAIS E TRABALHISTAS</t>
  </si>
  <si>
    <t xml:space="preserve">Submódulo 4.1 - Encargos previdenciários e FGTS:</t>
  </si>
  <si>
    <t xml:space="preserve">Encargos previdenciários e FGTS</t>
  </si>
  <si>
    <t xml:space="preserve">%</t>
  </si>
  <si>
    <t xml:space="preserve">INSS</t>
  </si>
  <si>
    <t xml:space="preserve">SESI ou SESC</t>
  </si>
  <si>
    <t xml:space="preserve">SENAI ou SENAC</t>
  </si>
  <si>
    <t xml:space="preserve">INCRA</t>
  </si>
  <si>
    <t xml:space="preserve">Salário Educação</t>
  </si>
  <si>
    <t xml:space="preserve">FGTS</t>
  </si>
  <si>
    <t xml:space="preserve">Seguro acidente do trabalho</t>
  </si>
  <si>
    <t xml:space="preserve">SEBRAE</t>
  </si>
  <si>
    <t xml:space="preserve">TOTAL</t>
  </si>
  <si>
    <t xml:space="preserve">Itens não aplicáveis a Optantes do SIMPLES</t>
  </si>
  <si>
    <t xml:space="preserve">Submódulo 4.2 - 13º Salário e Adicional de Férias</t>
  </si>
  <si>
    <t xml:space="preserve">13º Salário e Adicional de Férias</t>
  </si>
  <si>
    <t xml:space="preserve">13º Salário</t>
  </si>
  <si>
    <t xml:space="preserve">Adicional de Férias</t>
  </si>
  <si>
    <t xml:space="preserve">Subtotal</t>
  </si>
  <si>
    <t xml:space="preserve">Incidência do Submódulo 4.1 sobre 13º Salário e Adicional de Férias</t>
  </si>
  <si>
    <t xml:space="preserve">Submódulo 4.3 - Afastamento Maternidade</t>
  </si>
  <si>
    <t xml:space="preserve">Afastamento Maternidade</t>
  </si>
  <si>
    <t xml:space="preserve">Afastamento maternidade</t>
  </si>
  <si>
    <t xml:space="preserve">Incidência do Submódulo 4.1 sobre afastamento maternidade</t>
  </si>
  <si>
    <t xml:space="preserve">Submódulo 4.4 - Provisão para Rescisão</t>
  </si>
  <si>
    <t xml:space="preserve">Provisão para Rescisão</t>
  </si>
  <si>
    <t xml:space="preserve">Aviso prévio indenizado</t>
  </si>
  <si>
    <t xml:space="preserve">Incidência do submódulo 4.1 sobre aviso prévio indenizado</t>
  </si>
  <si>
    <t xml:space="preserve">Multa do FGTS do aviso prévio indenizado</t>
  </si>
  <si>
    <t xml:space="preserve">Aviso prévio trabalhado</t>
  </si>
  <si>
    <t xml:space="preserve">Incidência do submódulo 4.1 sobre aviso prévio trabalhado</t>
  </si>
  <si>
    <t xml:space="preserve">Multa do FGTS do aviso prévio trabalhado</t>
  </si>
  <si>
    <t xml:space="preserve">Submódulo 4.5 - Custo de Reposição do Profissional Ausente</t>
  </si>
  <si>
    <t xml:space="preserve">Custo de Reposição do Profissional Ausente</t>
  </si>
  <si>
    <t xml:space="preserve">Férias</t>
  </si>
  <si>
    <t xml:space="preserve">Ausência por doença</t>
  </si>
  <si>
    <t xml:space="preserve">Licença paternidade</t>
  </si>
  <si>
    <t xml:space="preserve">Ausências legais</t>
  </si>
  <si>
    <t xml:space="preserve">Ausência por Acidente de trabalho</t>
  </si>
  <si>
    <t xml:space="preserve">Outros</t>
  </si>
  <si>
    <t xml:space="preserve">Incidência do submódulo 4.1 sobre o Custo de reposição</t>
  </si>
  <si>
    <t xml:space="preserve">Quadro - resumo - Módulo 4 - Encargos sociais e trabalhistas</t>
  </si>
  <si>
    <t xml:space="preserve">Módulo 4 - Encargos sociais e trabalhistas</t>
  </si>
  <si>
    <t xml:space="preserve">4.1 13º salário + Adicional de férias</t>
  </si>
  <si>
    <t xml:space="preserve">4.2 Encargos previdenciários e FGTS</t>
  </si>
  <si>
    <t xml:space="preserve">4.3 Afastamento maternidade</t>
  </si>
  <si>
    <t xml:space="preserve">4.4 Custo de rescisão</t>
  </si>
  <si>
    <t xml:space="preserve">4.5 Custo de reposição do profissional ausente</t>
  </si>
  <si>
    <t xml:space="preserve">4.6 Outros (especificar)</t>
  </si>
  <si>
    <t xml:space="preserve">MÓDULO 5: CUSTOS INDIRETOS, TRIBUTOS E LUCRO</t>
  </si>
  <si>
    <t xml:space="preserve">Custos Indiretos, Tributos e Lucro</t>
  </si>
  <si>
    <t xml:space="preserve">A) Custos Indiretos</t>
  </si>
  <si>
    <t xml:space="preserve">B) Tributos</t>
  </si>
  <si>
    <t xml:space="preserve">B.1) Tributos Federais (PIS = 0,51% e COFINS = 2,51%) ANEXO IV LC 123/2006</t>
  </si>
  <si>
    <t xml:space="preserve">B.2) Tributos Estaduais (especificar)</t>
  </si>
  <si>
    <t xml:space="preserve">B.3) Tributos Municipais (ISS = 5,0%)</t>
  </si>
  <si>
    <t xml:space="preserve">B.4) Outros tributos (especificar)</t>
  </si>
  <si>
    <t xml:space="preserve">C) Lucro</t>
  </si>
  <si>
    <t xml:space="preserve">ANEXO B</t>
  </si>
  <si>
    <t xml:space="preserve">Quadro-resumo do Custo por Empregado</t>
  </si>
  <si>
    <t xml:space="preserve">Mão-de-obra vinculada à execução contratual (valor por empregado)</t>
  </si>
  <si>
    <t xml:space="preserve">A) Módulo 1 - Composição da Remuneração</t>
  </si>
  <si>
    <t xml:space="preserve">B) Módulo 2 - Benefícios Mensais e Diários</t>
  </si>
  <si>
    <t xml:space="preserve">C) Módulo 3 - Insumos Diversos (uniformes, materiais, equiptos e outros)</t>
  </si>
  <si>
    <t xml:space="preserve">D) Módulo 4 - Encargos Sociais e Trabalhistas</t>
  </si>
  <si>
    <t xml:space="preserve">Subtotal (A + B +C+ D)</t>
  </si>
  <si>
    <t xml:space="preserve">E) Módulo 5 - Custos indiretos, tributos e lucro</t>
  </si>
  <si>
    <t xml:space="preserve">Outros: Gratificação Líder</t>
  </si>
  <si>
    <t xml:space="preserve">Valor total por empregado</t>
  </si>
  <si>
    <t xml:space="preserve">FATOR K</t>
  </si>
  <si>
    <t xml:space="preserve">Gratificação de Líder de Equipe</t>
  </si>
  <si>
    <t xml:space="preserve">Diferença entre Valor Total do Servente com Gratificação de Função e o Servente sem Gratificação de Função</t>
  </si>
  <si>
    <t xml:space="preserve">EQUIPAMENTOS</t>
  </si>
  <si>
    <t xml:space="preserve">Fornecedor 01</t>
  </si>
  <si>
    <t xml:space="preserve">Fornecedor 02 </t>
  </si>
  <si>
    <t xml:space="preserve">Fornecedor 03 </t>
  </si>
  <si>
    <t xml:space="preserve">ESPECIFICAÇÃO</t>
  </si>
  <si>
    <t xml:space="preserve">QUANTIDADE</t>
  </si>
  <si>
    <t xml:space="preserve">MARCA</t>
  </si>
  <si>
    <t xml:space="preserve">VALOR UNITÁRIO</t>
  </si>
  <si>
    <t xml:space="preserve">VALOR UNITÁRIO ESTIMADO</t>
  </si>
  <si>
    <t xml:space="preserve">VALOR TOTAL           (A)</t>
  </si>
  <si>
    <t xml:space="preserve">MANUTENÇÃO MENSAL (B) (0,25% x A)</t>
  </si>
  <si>
    <t xml:space="preserve">INSUMOS MENSAL (C) </t>
  </si>
  <si>
    <t xml:space="preserve">MESES DE VIDA ÚTIL ESTIMADA (D)</t>
  </si>
  <si>
    <t xml:space="preserve">DEPRECIAÇÃO     (E) (A / D)</t>
  </si>
  <si>
    <t xml:space="preserve">CUSTO MENSAL (B+C+D)</t>
  </si>
  <si>
    <t xml:space="preserve">Aspirador pó,   deverá ser entregue com os respectivos acessórios, necessários ao bom funcionamento do equipamento.</t>
  </si>
  <si>
    <t xml:space="preserve">Carrinho utilitário, tipo mop, com todos os equipamentos.</t>
  </si>
  <si>
    <t xml:space="preserve">Balde espremedor doblô com capacidade para 50 litros (referencia Bralimpia)</t>
  </si>
  <si>
    <t xml:space="preserve">Enceradeira elétrica industrial - deverá ser entregue com os respectivos acessórios, necessários ao bom funcionamento do equipamento.</t>
  </si>
  <si>
    <t xml:space="preserve">Roçadeira de grama a gasolina, costal (similar ao Husqvarna 236R)</t>
  </si>
  <si>
    <t xml:space="preserve">Cortador de grama a gasolina auto-tracionado (similar ao Husqvarna Lb155s)</t>
  </si>
  <si>
    <t xml:space="preserve">Lavadora de alta pressão semi-industrial.</t>
  </si>
  <si>
    <r>
      <rPr>
        <sz val="10"/>
        <color rgb="FF000000"/>
        <rFont val="Calibri"/>
        <family val="2"/>
        <charset val="1"/>
      </rPr>
      <t xml:space="preserve">Escada extensiva,</t>
    </r>
    <r>
      <rPr>
        <b val="true"/>
        <sz val="10"/>
        <color rgb="FF000000"/>
        <rFont val="Calibri"/>
        <family val="2"/>
        <charset val="1"/>
      </rPr>
      <t xml:space="preserve"> </t>
    </r>
    <r>
      <rPr>
        <sz val="10"/>
        <color rgb="FF000000"/>
        <rFont val="Calibri"/>
        <family val="2"/>
        <charset val="1"/>
      </rPr>
      <t xml:space="preserve">em alumínio, pés antiderrapantes, sapatas de borracha, de 22 a 24 degraus.</t>
    </r>
  </si>
  <si>
    <r>
      <rPr>
        <sz val="10"/>
        <color rgb="FF000000"/>
        <rFont val="Calibri"/>
        <family val="2"/>
        <charset val="1"/>
      </rPr>
      <t xml:space="preserve">Escada de abrir (em V),</t>
    </r>
    <r>
      <rPr>
        <b val="true"/>
        <sz val="10"/>
        <color rgb="FF000000"/>
        <rFont val="Calibri"/>
        <family val="2"/>
        <charset val="1"/>
      </rPr>
      <t xml:space="preserve"> </t>
    </r>
    <r>
      <rPr>
        <sz val="10"/>
        <color rgb="FF000000"/>
        <rFont val="Calibri"/>
        <family val="2"/>
        <charset val="1"/>
      </rPr>
      <t xml:space="preserve">em alumínio com no mínimo 7 degraus,  pés antiderrapantes, sapatas de borracha.</t>
    </r>
  </si>
  <si>
    <t xml:space="preserve">Extensão de 30 metros, com pino macho e fêmea.</t>
  </si>
  <si>
    <t xml:space="preserve">Extensão de 50 metros, com pino macho e fêmea.</t>
  </si>
  <si>
    <t xml:space="preserve">Mangueira em poliéster reforçado com tela, engate rápido para torneiras ½ e 3/4, esguicho tipo pistola em metal e suporte  ³/4, com 50 metros.</t>
  </si>
  <si>
    <t xml:space="preserve">Sinalizador de aviso “Piso Molhado”.</t>
  </si>
  <si>
    <t xml:space="preserve">Sinalizador de aviso “Banheiro fora de uso – não entre”.</t>
  </si>
  <si>
    <t xml:space="preserve">TOTAL MENSAL </t>
  </si>
  <si>
    <t xml:space="preserve">TOTAL ANUAL</t>
  </si>
  <si>
    <t xml:space="preserve">TOTAL MENSAL DIVIDIDO POR SERVENTE</t>
  </si>
  <si>
    <t xml:space="preserve">       </t>
  </si>
  <si>
    <t xml:space="preserve">MATERIAL DE CONSUMO MENSAL</t>
  </si>
  <si>
    <t xml:space="preserve">MATERIAL</t>
  </si>
  <si>
    <t xml:space="preserve">UNIDADE DE MEDIDA</t>
  </si>
  <si>
    <t xml:space="preserve">QUANTIDADE MENSAL</t>
  </si>
  <si>
    <t xml:space="preserve">VALOR UNITÁRIO MÉDIO</t>
  </si>
  <si>
    <t xml:space="preserve">VALOR  TOTAL</t>
  </si>
  <si>
    <t xml:space="preserve">ÁGUA SANITÁRIA, uso doméstico, a base de hipoclorito de sódio, com dados de identificação do produto, marca do fabricante, data de fabricação, prazo de validade e registro no Ministério da Saúde. </t>
  </si>
  <si>
    <t xml:space="preserve">Galão de 5 litros</t>
  </si>
  <si>
    <t xml:space="preserve">ÁLCOOL etílico hidratado, líquido 70º.</t>
  </si>
  <si>
    <t xml:space="preserve">Litro</t>
  </si>
  <si>
    <t xml:space="preserve">DESINFETANTE para uso geral bruto, com ação germicida, bactericida e fungicida, super concentrado.</t>
  </si>
  <si>
    <t xml:space="preserve">ESPONJA sintética, dupla face, um lado em espuma poliuretano e outro em fibra sintética abrasiva, dimensões 100 x 70 x 20 mm, com variação de +/- 10 mm. Embalagem com dados de identificação do produto e marca do fabricante.</t>
  </si>
  <si>
    <t xml:space="preserve">Unidade</t>
  </si>
  <si>
    <t xml:space="preserve">ESPONJA DE FIBRA multi uso.</t>
  </si>
  <si>
    <t xml:space="preserve">ESCOVA DE MÃO, modelo grande, com fibras duras.</t>
  </si>
  <si>
    <t xml:space="preserve">SACO coletor para aspirador de pó, de acordo com o modelo do aspirador.</t>
  </si>
  <si>
    <t xml:space="preserve">FLANELA, 100%  algodão, branca para uso geral de 60 x 40 cm.</t>
  </si>
  <si>
    <t xml:space="preserve">LIMPA VIDROS LÍQUIDO</t>
  </si>
  <si>
    <t xml:space="preserve">litro</t>
  </si>
  <si>
    <t xml:space="preserve">PANO DE CHÃO de saco alvejado especial 40x70, para limpeza de piso - cor branca.</t>
  </si>
  <si>
    <t xml:space="preserve">PAPEL HIGIÊNICO,  picotado, gofrado, extra branco, de 1ª qualidade, super macio,16 x04x30 metros.</t>
  </si>
  <si>
    <t xml:space="preserve">Fardo 64 rolos</t>
  </si>
  <si>
    <t xml:space="preserve">PAPEL HIGIÊNICO, rolão, picotado, gofrado, extra branco, de 1ª qualidade, super macio, 8 x 300  metros, conforme tamanho do dispenser.</t>
  </si>
  <si>
    <t xml:space="preserve">Caixa/fardo 8 rolos</t>
  </si>
  <si>
    <t xml:space="preserve">PAPEL TOALHA interfolhado, na cor branca, 2 dobras, de 1ª qualidade, 100% celulose virgem,  com alta absorção, fls. 21 cm x 23 cm, de alta absorção, macias, absorventes e econômicas, embalagem contendo marca do fabricante, cor e lote do produto, maços embalados individualmente, conforme modelo do dispenser.</t>
  </si>
  <si>
    <t xml:space="preserve">Fardo com 5 pacotes, contendo 200 folhas em cada pacote, totalizando  1000 fls.</t>
  </si>
  <si>
    <t xml:space="preserve">SABONETE CREMOSO LIQUIDO, de odor agradável, com ph neutro, umectante, antialérgico (pronto uso), com dados do fabricante, data de fabricação e prazo de validade e registro no Ministério da Saúde.</t>
  </si>
  <si>
    <t xml:space="preserve">SACO para lixo de 100 litros, cor preta, 7 micras, deverá estar de acordo com as normas da ABNT NBR 9190,9191, 9195, 14474 e 13056. As embalagens deverão ter toda especificação.</t>
  </si>
  <si>
    <t xml:space="preserve">Pacote com 100 unidades</t>
  </si>
  <si>
    <t xml:space="preserve">SACO para lixo de 60 litros, cor preta, 7 micras, deverá estar de acordo com as normas da ABNT NBR 9190,9191, 9195, 14474 e 13056. As embalagens deverão ter toda especificação.</t>
  </si>
  <si>
    <t xml:space="preserve">Fardo</t>
  </si>
  <si>
    <t xml:space="preserve">LUVA de borracha, de punho longo nº 07, tamanhos P/M/G.</t>
  </si>
  <si>
    <t xml:space="preserve">Par</t>
  </si>
  <si>
    <t xml:space="preserve">LUVA EM LÁTEX, antiderrapante, resistente, impermeável para limpeza, tamanhos P, M e G.</t>
  </si>
  <si>
    <t xml:space="preserve">Máscara Descartável: para pó confeccionada em TNT (100% polipropileno), dispor lateralmente de dois elásticos roliço recobertos com algodão, em estilo retangular, com no mínimo três pregas.</t>
  </si>
  <si>
    <t xml:space="preserve">Detergente neutro para piso, galão de 5 litros</t>
  </si>
  <si>
    <t xml:space="preserve">Detergente líquido para lavar louças, 500 ml</t>
  </si>
  <si>
    <t xml:space="preserve">Frasco com 500 ml</t>
  </si>
  <si>
    <t xml:space="preserve">Cera liquida incolor e sem perfume</t>
  </si>
  <si>
    <t xml:space="preserve">Limpador multiuso para limpar móveis e equipamentos, frasco 500 ml</t>
  </si>
  <si>
    <t xml:space="preserve">Limpador de tela, LCD, LED e Plasma, embalagem 200 ml</t>
  </si>
  <si>
    <t xml:space="preserve">Frasco 200 ml</t>
  </si>
  <si>
    <t xml:space="preserve">Gasolina – combustível para roçadeira de grama</t>
  </si>
  <si>
    <t xml:space="preserve">litros</t>
  </si>
  <si>
    <t xml:space="preserve">Óleo 2 Tempos – para roçadeira de grama</t>
  </si>
  <si>
    <t xml:space="preserve">UTENSÍLIOS DE CONSUMO ANUAL</t>
  </si>
  <si>
    <t xml:space="preserve">QUANTIDADE ANUAL</t>
  </si>
  <si>
    <t xml:space="preserve">BALDE em material plástico, polietileno de alta densidade, alta resistência a impacto, paredes e fundo reforçados, reforço no encaixe da alça,  capacidade 12 litros.</t>
  </si>
  <si>
    <t xml:space="preserve">PÁ PARA LIXO EM PLÁSTICO  para recolhimento de lixo, cabo de madeira com 80 cm de comprimento.</t>
  </si>
  <si>
    <t xml:space="preserve">RODO, para piso, com 02 (duas) borrachas, base em polipropileno com 400 mm, cabo em madeira com encaixe rosqueado, comprimento 1500 mm.</t>
  </si>
  <si>
    <t xml:space="preserve">RODO, para piso, com 02 (duas) borrachas, base em polipropileno com 600 mm, cabo em madeira com encaixe rosqueado, comprimento 1500 mm.</t>
  </si>
  <si>
    <t xml:space="preserve">VASOURINHA SANITARIA s/estojo, para limpeza de vaso sanitário, em plástico material cerdas: nylon, cabo plástico.</t>
  </si>
  <si>
    <t xml:space="preserve">VASSOURA, material em nylon comprimento cabo: 1,50 m, comprimento cepo: 40 cm, Aplicação: limpeza em geral, cerdas de 13 cm de comprimento, madeira aparelhada e lixada.</t>
  </si>
  <si>
    <t xml:space="preserve">VASSOURA DE TETO (p/ remover teia de aranha c/ cabo longo.</t>
  </si>
  <si>
    <t xml:space="preserve">Dispenser para papel higiênico, conforme o tamanho do papel a ser entregue. Obs: com visor transparente.</t>
  </si>
  <si>
    <t xml:space="preserve">Dispenser para papel toalha, conforme o tamanho do papel a ser entregue. Obs. com visor transparente</t>
  </si>
  <si>
    <t xml:space="preserve">Dispenser para sabonete líquido. Obs&gt; com visor.</t>
  </si>
  <si>
    <t xml:space="preserve">Desentupidor sanitário</t>
  </si>
  <si>
    <t xml:space="preserve">Desentupidor para pia</t>
  </si>
  <si>
    <t xml:space="preserve">Espanador de fibra sintética ou penas</t>
  </si>
  <si>
    <t xml:space="preserve">Bota antiderrapante em PVC, cor branca cano médio</t>
  </si>
  <si>
    <t xml:space="preserve">Botina: de couro ou material sintético similar, na cor preta, com biqueira de ferro</t>
  </si>
  <si>
    <t xml:space="preserve">Carrinho de mão</t>
  </si>
  <si>
    <t xml:space="preserve">Pá, tipo construção civil (com cabo)</t>
  </si>
  <si>
    <t xml:space="preserve">Enxada com cabo de madeira</t>
  </si>
  <si>
    <t xml:space="preserve">Tesoura para poda</t>
  </si>
  <si>
    <t xml:space="preserve">Rastelo tipo abertura regulável (folhas e gramas)</t>
  </si>
  <si>
    <t xml:space="preserve">TOTAL MENSAL</t>
  </si>
  <si>
    <t xml:space="preserve">UNIFORME</t>
  </si>
  <si>
    <t xml:space="preserve">Fornecedor 1</t>
  </si>
  <si>
    <t xml:space="preserve">Fornecedor 2</t>
  </si>
  <si>
    <t xml:space="preserve">Fornecedor 3</t>
  </si>
  <si>
    <t xml:space="preserve">DESCRIÇÂO</t>
  </si>
  <si>
    <t xml:space="preserve">QTDE ANUAL</t>
  </si>
  <si>
    <t xml:space="preserve">UNIDADE</t>
  </si>
  <si>
    <t xml:space="preserve">VALOR UNIT MÉDIO</t>
  </si>
  <si>
    <t xml:space="preserve">Calça: tecido em brim pesado ou sarja (100% algodão), cor a definir, com bolsos chapados traseiros.</t>
  </si>
  <si>
    <t xml:space="preserve">Camiseta: tecido malha PV 67% poliéster e 33% viscose, manga curta, gola redonda, cor a definir, com a logomarca (aproximadamente 10 cm) da empresa gravada.</t>
  </si>
  <si>
    <t xml:space="preserve">Camiseta: tecido malha PV 67% poliéster e 33% viscose, manga longa, gola redonda, cor a definir, com a logomarca (aproximadamente 10 cm) da empresa gravada.</t>
  </si>
  <si>
    <t xml:space="preserve">TOTAL ANUAL (R$) / SERVENTE</t>
  </si>
  <si>
    <t xml:space="preserve">TOTAL MENSAL (R$) / SERVENTE</t>
  </si>
  <si>
    <t xml:space="preserve">TRANSPORTE ALTERNATIVO (CLÁUSULA DÉCIMA QUARTA DA CCT 2017)</t>
  </si>
  <si>
    <t xml:space="preserve">FORNECEDOR 01 (GAZIM)</t>
  </si>
  <si>
    <t xml:space="preserve">FORNECEDOR 02 (Favato Eletromóveis)</t>
  </si>
  <si>
    <t xml:space="preserve">FORNECEDOR 03 (Casa do Ciclista)</t>
  </si>
  <si>
    <t xml:space="preserve">VALOR MÉDIO ESTIMADO</t>
  </si>
  <si>
    <t xml:space="preserve">VALOR  TOTAL ESTIMADO</t>
  </si>
  <si>
    <t xml:space="preserve">Bicicleta Aro 26</t>
  </si>
  <si>
    <t xml:space="preserve">Preço por m2 (considerando as produtividades-padrão da IN 02/2008)</t>
  </si>
  <si>
    <t xml:space="preserve">Tipo de área</t>
  </si>
  <si>
    <r>
      <rPr>
        <sz val="10"/>
        <rFont val="Arial"/>
        <family val="2"/>
        <charset val="1"/>
      </rPr>
      <t xml:space="preserve">Produtividade ( I )
(1/m²) </t>
    </r>
    <r>
      <rPr>
        <b val="true"/>
        <sz val="8"/>
        <rFont val="Arial"/>
        <family val="2"/>
        <charset val="1"/>
      </rPr>
      <t xml:space="preserve">(1)</t>
    </r>
  </si>
  <si>
    <t xml:space="preserve">Número de Postos Sugeridos</t>
  </si>
  <si>
    <t xml:space="preserve">Preço do homem-mês ( II )</t>
  </si>
  <si>
    <t xml:space="preserve">Subtotal (R$/m²)
( I ) x ( II )</t>
  </si>
  <si>
    <t xml:space="preserve">Área Interna</t>
  </si>
  <si>
    <t xml:space="preserve">Servente </t>
  </si>
  <si>
    <t xml:space="preserve">Preço por m² total - Área Interna</t>
  </si>
  <si>
    <t xml:space="preserve">WC sem insalubridade</t>
  </si>
  <si>
    <t xml:space="preserve">Preço por m² total – Sem insalubridade</t>
  </si>
  <si>
    <t xml:space="preserve">Área Interna Laboratórios</t>
  </si>
  <si>
    <t xml:space="preserve">Preço por m² total – Área Interna Laboratórios</t>
  </si>
  <si>
    <t xml:space="preserve">Área Interna – Almoxarifado-Galpão</t>
  </si>
  <si>
    <t xml:space="preserve">Preço por m² total - Área Interna – Almoxarifado-Galpão</t>
  </si>
  <si>
    <t xml:space="preserve">Área com Espaços Livres – Hall</t>
  </si>
  <si>
    <t xml:space="preserve">Preço por m² total - Área Interna – Área com Espaços Livres – Hall</t>
  </si>
  <si>
    <t xml:space="preserve">Área Externa – Varrição de passeios e arruamentos</t>
  </si>
  <si>
    <t xml:space="preserve">Preço por m² total - Área Externa – Varrição de passeios e arruamentos</t>
  </si>
  <si>
    <t xml:space="preserve">Área Externa – Coleta de detritos em pátios e áreas verdes</t>
  </si>
  <si>
    <t xml:space="preserve">Preço por m² total - Área Externa – Coleta de detritos em pátios e áreas verdes com frequência diária </t>
  </si>
  <si>
    <t xml:space="preserve">Área Externa – Jardins/grama e pista de atletismo</t>
  </si>
  <si>
    <t xml:space="preserve">Preço por m² total - Área Externa – Jardins/grama e pista de atletismo</t>
  </si>
  <si>
    <t xml:space="preserve">Esquadrias Externas – Face externa com exposição à situação de risco</t>
  </si>
  <si>
    <t xml:space="preserve">Preço por m² total - Esquadrias Externas – Face externa com exposição à situação de risco</t>
  </si>
  <si>
    <t xml:space="preserve">Esquadrias Face interna e externa sem exposição à situação de risco</t>
  </si>
  <si>
    <t xml:space="preserve">Preço por m² total - Esquadrias Face interna e externa sem exposição à situação de risco</t>
  </si>
  <si>
    <t xml:space="preserve">Valor Mensal dos Serviços</t>
  </si>
  <si>
    <t xml:space="preserve">Preço por m² mensal
 (R$/m²) </t>
  </si>
  <si>
    <t xml:space="preserve">Área (m²)</t>
  </si>
  <si>
    <t xml:space="preserve">Total por tipo de 
área(R$)</t>
  </si>
  <si>
    <t xml:space="preserve">Total MENSAL (R$)</t>
  </si>
  <si>
    <t xml:space="preserve">Total ANUAL (R$)</t>
  </si>
  <si>
    <t xml:space="preserve">(1) Caderno de Logística – Prestação de Serviços de Limpeza, Asseio e Conservação (disponibilizado pela Secretaria de Logística e Tecnologia da Informação, atual Secretaria de Gestão do Ministério do Planejamento, Orçamento e Gestão)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</si>
</sst>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#,##0.00"/>
    <numFmt numFmtId="166" formatCode="D/M/YYYY"/>
    <numFmt numFmtId="167" formatCode="#,##0.00\ ;\(#,##0.00\)"/>
    <numFmt numFmtId="168" formatCode="#,##0.00\ ;&quot; (&quot;#,##0.00\);\-#\ ;@\ "/>
    <numFmt numFmtId="169" formatCode="0.00"/>
    <numFmt numFmtId="170" formatCode="D/MMM"/>
    <numFmt numFmtId="171" formatCode="0%"/>
    <numFmt numFmtId="172" formatCode="0.00%"/>
    <numFmt numFmtId="173" formatCode="#,##0"/>
    <numFmt numFmtId="174" formatCode="&quot; R$ &quot;* #,##0.00\ ;&quot;-R$ &quot;* #,##0.00\ ;&quot; R$ &quot;* \-#\ ;@\ "/>
    <numFmt numFmtId="175" formatCode="#,##0.0000\ ;&quot; (&quot;#,##0.0000\);\-#\ ;@\ "/>
    <numFmt numFmtId="176" formatCode="#,##0.0000"/>
    <numFmt numFmtId="177" formatCode="#,##0.00000\ ;&quot; (&quot;#,##0.00000\);\-#\ ;@\ "/>
    <numFmt numFmtId="178" formatCode="#,##0.00\ ;\-#,##0.00\ ;\-#\ ;@\ "/>
    <numFmt numFmtId="179" formatCode="#,##0.00000\ ;&quot; (&quot;#,##0.00000\);\-#.0\ ;@\ "/>
  </numFmts>
  <fonts count="3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8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800080"/>
      <name val="Arial"/>
      <family val="2"/>
      <charset val="1"/>
    </font>
    <font>
      <b val="true"/>
      <sz val="12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2"/>
      <name val="Times New Roman"/>
      <family val="1"/>
      <charset val="1"/>
    </font>
    <font>
      <sz val="9"/>
      <color rgb="FF000000"/>
      <name val="Tahoma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8"/>
      <name val="Arial"/>
      <family val="2"/>
      <charset val="1"/>
    </font>
    <font>
      <b val="true"/>
      <sz val="14"/>
      <name val="Calibri"/>
      <family val="2"/>
      <charset val="1"/>
    </font>
    <font>
      <sz val="10"/>
      <name val="Arial"/>
      <family val="0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E0E0E0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0C0C0"/>
      </patternFill>
    </fill>
    <fill>
      <patternFill patternType="solid">
        <fgColor rgb="FFB2B2B2"/>
        <bgColor rgb="FFBFBFBF"/>
      </patternFill>
    </fill>
    <fill>
      <patternFill patternType="solid">
        <fgColor rgb="FFD9D9D9"/>
        <bgColor rgb="FFDDDDDD"/>
      </patternFill>
    </fill>
    <fill>
      <patternFill patternType="solid">
        <fgColor rgb="FFCCCCCC"/>
        <bgColor rgb="FFC0C0C0"/>
      </patternFill>
    </fill>
    <fill>
      <patternFill patternType="solid">
        <fgColor rgb="FFE0E0E0"/>
        <bgColor rgb="FFDDDDDD"/>
      </patternFill>
    </fill>
    <fill>
      <patternFill patternType="solid">
        <fgColor rgb="FFF2F2F2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BFBFBF"/>
      </patternFill>
    </fill>
    <fill>
      <patternFill patternType="solid">
        <fgColor rgb="FFFFFF00"/>
        <bgColor rgb="FFFFFF00"/>
      </patternFill>
    </fill>
  </fills>
  <borders count="4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medium"/>
      <top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4" fontId="3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9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9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9" borderId="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9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9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9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9" borderId="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6" fillId="9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1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9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9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0" fillId="9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9" borderId="0" xfId="15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16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9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9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9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1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9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6" fillId="9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5" fillId="9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9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9" borderId="16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6" fillId="9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9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9" borderId="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0" fillId="9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9" borderId="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7" fillId="9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0" fillId="9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9" borderId="9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6" fillId="9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6" fillId="9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1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9" borderId="2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0" fontId="15" fillId="9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9" borderId="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9" fontId="16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0" fillId="9" borderId="0" xfId="19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0" fillId="9" borderId="0" xfId="19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7" fontId="15" fillId="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0" fillId="9" borderId="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7" fontId="15" fillId="9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18" fillId="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16" fillId="1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9" borderId="16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7" fontId="16" fillId="9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0" fillId="9" borderId="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7" fontId="16" fillId="9" borderId="9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71" fontId="0" fillId="9" borderId="0" xfId="19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6" fillId="1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9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0" fillId="0" borderId="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7" fontId="0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9" fillId="9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0" borderId="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7" fontId="0" fillId="9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7" fontId="16" fillId="0" borderId="9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7" fontId="16" fillId="9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9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10" borderId="16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7" fontId="16" fillId="1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6" fillId="9" borderId="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16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25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9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5" fillId="9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5" fillId="9" borderId="1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9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7" fontId="16" fillId="9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" fillId="9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8" fillId="1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6" fillId="10" borderId="2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3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3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9" borderId="29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5" fillId="9" borderId="3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5" fillId="9" borderId="2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5" fillId="0" borderId="2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5" fillId="0" borderId="29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5" fillId="0" borderId="2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5" fillId="0" borderId="28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5" fillId="0" borderId="2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9" borderId="2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2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3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7" fillId="0" borderId="2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7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2" xfId="15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22" xfId="15" applyFont="false" applyBorder="true" applyAlignment="true" applyProtection="true">
      <alignment horizontal="right" vertical="center" textRotation="0" wrapText="true" indent="0" shrinkToFit="false"/>
      <protection locked="false" hidden="false"/>
    </xf>
    <xf numFmtId="164" fontId="2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4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4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2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9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9" fillId="0" borderId="2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9" borderId="3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3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3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5" fillId="0" borderId="2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32" fillId="0" borderId="2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2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9" borderId="3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5" fillId="0" borderId="2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4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4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4" fillId="0" borderId="22" xfId="17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74" fontId="34" fillId="0" borderId="35" xfId="17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22" xfId="15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2" xfId="15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15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14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4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2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6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7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7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0" fillId="0" borderId="35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3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37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1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3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35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0" fillId="0" borderId="35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17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17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17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7" fontId="0" fillId="0" borderId="22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7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9" fontId="0" fillId="0" borderId="2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22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0" fillId="0" borderId="22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6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7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6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35" xfId="15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34" fillId="0" borderId="35" xfId="17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17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2" xfId="15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34" fillId="0" borderId="3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17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17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18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6" fillId="18" borderId="2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E0E0E0"/>
      <rgbColor rgb="FFBFBFBF"/>
      <rgbColor rgb="FFDDDDDD"/>
      <rgbColor rgb="FFD9D9D9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65536"/>
  <sheetViews>
    <sheetView showFormulas="false" showGridLines="true" showRowColHeaders="true" showZeros="true" rightToLeft="false" tabSelected="false" showOutlineSymbols="true" defaultGridColor="true" view="normal" topLeftCell="A40" colorId="64" zoomScale="120" zoomScaleNormal="120" zoomScalePageLayoutView="100" workbookViewId="0">
      <selection pane="topLeft" activeCell="C120" activeCellId="0" sqref="C120"/>
    </sheetView>
  </sheetViews>
  <sheetFormatPr defaultRowHeight="11.25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1" width="65.69"/>
    <col collapsed="false" customWidth="true" hidden="false" outlineLevel="0" max="3" min="3" style="1" width="15.57"/>
    <col collapsed="false" customWidth="true" hidden="false" outlineLevel="0" max="5" min="4" style="1" width="15.71"/>
    <col collapsed="false" customWidth="true" hidden="false" outlineLevel="0" max="6" min="6" style="2" width="20.57"/>
    <col collapsed="false" customWidth="true" hidden="false" outlineLevel="0" max="8" min="7" style="1" width="11.42"/>
    <col collapsed="false" customWidth="true" hidden="false" outlineLevel="0" max="9" min="9" style="1" width="16.87"/>
    <col collapsed="false" customWidth="true" hidden="false" outlineLevel="0" max="10" min="10" style="1" width="16.41"/>
    <col collapsed="false" customWidth="true" hidden="false" outlineLevel="0" max="11" min="11" style="1" width="16.57"/>
    <col collapsed="false" customWidth="true" hidden="false" outlineLevel="0" max="1025" min="12" style="1" width="11.42"/>
  </cols>
  <sheetData>
    <row r="1" customFormat="false" ht="39" hidden="false" customHeight="true" outlineLevel="0" collapsed="false">
      <c r="B1" s="3" t="s">
        <v>0</v>
      </c>
      <c r="C1" s="3"/>
      <c r="D1" s="3"/>
      <c r="E1" s="3"/>
    </row>
    <row r="2" customFormat="false" ht="17.25" hidden="false" customHeight="true" outlineLevel="0" collapsed="false">
      <c r="B2" s="3"/>
      <c r="C2" s="4"/>
      <c r="D2" s="4"/>
      <c r="E2" s="4"/>
    </row>
    <row r="3" customFormat="false" ht="17.25" hidden="false" customHeight="true" outlineLevel="0" collapsed="false">
      <c r="B3" s="5" t="s">
        <v>1</v>
      </c>
      <c r="C3" s="6"/>
      <c r="D3" s="6"/>
      <c r="E3" s="6"/>
    </row>
    <row r="4" customFormat="false" ht="17.25" hidden="false" customHeight="true" outlineLevel="0" collapsed="false">
      <c r="B4" s="7" t="s">
        <v>2</v>
      </c>
      <c r="C4" s="8" t="s">
        <v>3</v>
      </c>
      <c r="D4" s="8"/>
      <c r="E4" s="8"/>
    </row>
    <row r="5" customFormat="false" ht="17.25" hidden="false" customHeight="true" outlineLevel="0" collapsed="false">
      <c r="B5" s="3"/>
      <c r="C5" s="4"/>
      <c r="D5" s="4"/>
      <c r="E5" s="4"/>
    </row>
    <row r="6" customFormat="false" ht="15.95" hidden="false" customHeight="true" outlineLevel="0" collapsed="false">
      <c r="B6" s="9" t="s">
        <v>4</v>
      </c>
      <c r="C6" s="10" t="s">
        <v>5</v>
      </c>
      <c r="D6" s="10"/>
      <c r="E6" s="10"/>
    </row>
    <row r="7" customFormat="false" ht="15.95" hidden="false" customHeight="true" outlineLevel="0" collapsed="false">
      <c r="B7" s="11" t="s">
        <v>6</v>
      </c>
      <c r="C7" s="12" t="n">
        <v>25.22</v>
      </c>
      <c r="D7" s="12"/>
      <c r="E7" s="12"/>
    </row>
    <row r="8" customFormat="false" ht="15.95" hidden="false" customHeight="true" outlineLevel="0" collapsed="false">
      <c r="B8" s="13" t="s">
        <v>7</v>
      </c>
      <c r="C8" s="14" t="n">
        <v>1022.34</v>
      </c>
      <c r="D8" s="14"/>
      <c r="E8" s="14"/>
    </row>
    <row r="9" customFormat="false" ht="15.95" hidden="false" customHeight="true" outlineLevel="0" collapsed="false">
      <c r="B9" s="13" t="s">
        <v>8</v>
      </c>
      <c r="C9" s="12" t="s">
        <v>9</v>
      </c>
      <c r="D9" s="12"/>
      <c r="E9" s="12"/>
    </row>
    <row r="10" customFormat="false" ht="15.95" hidden="false" customHeight="true" outlineLevel="0" collapsed="false">
      <c r="B10" s="15" t="s">
        <v>10</v>
      </c>
      <c r="C10" s="16" t="n">
        <v>42736</v>
      </c>
      <c r="D10" s="16"/>
      <c r="E10" s="16"/>
    </row>
    <row r="11" customFormat="false" ht="15.95" hidden="false" customHeight="true" outlineLevel="0" collapsed="false">
      <c r="B11" s="17"/>
      <c r="C11" s="18"/>
      <c r="D11" s="19"/>
      <c r="E11" s="19"/>
    </row>
    <row r="12" customFormat="false" ht="12" hidden="false" customHeight="true" outlineLevel="0" collapsed="false">
      <c r="C12" s="20"/>
      <c r="D12" s="20"/>
      <c r="E12" s="20"/>
    </row>
    <row r="13" customFormat="false" ht="15.75" hidden="false" customHeight="true" outlineLevel="0" collapsed="false">
      <c r="B13" s="21" t="s">
        <v>11</v>
      </c>
      <c r="C13" s="21"/>
      <c r="D13" s="21"/>
      <c r="E13" s="21"/>
    </row>
    <row r="14" customFormat="false" ht="15.95" hidden="false" customHeight="true" outlineLevel="0" collapsed="false">
      <c r="B14" s="22" t="s">
        <v>12</v>
      </c>
      <c r="C14" s="23" t="s">
        <v>13</v>
      </c>
      <c r="D14" s="23"/>
      <c r="E14" s="23"/>
    </row>
    <row r="15" customFormat="false" ht="15.95" hidden="false" customHeight="true" outlineLevel="0" collapsed="false">
      <c r="B15" s="24" t="s">
        <v>14</v>
      </c>
      <c r="C15" s="25" t="n">
        <v>1022.34</v>
      </c>
      <c r="D15" s="25"/>
      <c r="E15" s="25"/>
    </row>
    <row r="16" customFormat="false" ht="15.95" hidden="false" customHeight="true" outlineLevel="0" collapsed="false">
      <c r="B16" s="24" t="s">
        <v>15</v>
      </c>
      <c r="C16" s="25"/>
      <c r="D16" s="25"/>
      <c r="E16" s="25"/>
    </row>
    <row r="17" customFormat="false" ht="15.95" hidden="false" customHeight="true" outlineLevel="0" collapsed="false">
      <c r="B17" s="24" t="s">
        <v>16</v>
      </c>
      <c r="C17" s="25"/>
      <c r="D17" s="25"/>
      <c r="E17" s="25"/>
    </row>
    <row r="18" customFormat="false" ht="15.95" hidden="false" customHeight="true" outlineLevel="0" collapsed="false">
      <c r="B18" s="26" t="s">
        <v>17</v>
      </c>
      <c r="C18" s="27"/>
      <c r="D18" s="27"/>
      <c r="E18" s="27"/>
    </row>
    <row r="19" customFormat="false" ht="15.95" hidden="false" customHeight="true" outlineLevel="0" collapsed="false">
      <c r="B19" s="26" t="s">
        <v>18</v>
      </c>
      <c r="C19" s="27"/>
      <c r="D19" s="27"/>
      <c r="E19" s="27"/>
    </row>
    <row r="20" customFormat="false" ht="15.95" hidden="false" customHeight="true" outlineLevel="0" collapsed="false">
      <c r="B20" s="26" t="s">
        <v>19</v>
      </c>
      <c r="C20" s="27"/>
      <c r="D20" s="27"/>
      <c r="E20" s="27"/>
    </row>
    <row r="21" customFormat="false" ht="15.95" hidden="false" customHeight="true" outlineLevel="0" collapsed="false">
      <c r="B21" s="26" t="s">
        <v>20</v>
      </c>
      <c r="C21" s="25"/>
      <c r="D21" s="25"/>
      <c r="E21" s="25"/>
    </row>
    <row r="22" customFormat="false" ht="15.95" hidden="false" customHeight="true" outlineLevel="0" collapsed="false">
      <c r="B22" s="26" t="s">
        <v>21</v>
      </c>
      <c r="C22" s="27" t="n">
        <v>39.41</v>
      </c>
      <c r="D22" s="27"/>
      <c r="E22" s="27"/>
    </row>
    <row r="23" customFormat="false" ht="15.95" hidden="false" customHeight="true" outlineLevel="0" collapsed="false">
      <c r="B23" s="28" t="s">
        <v>22</v>
      </c>
      <c r="C23" s="29" t="n">
        <f aca="false">SUM(Serv!C15:E22)</f>
        <v>1061.75</v>
      </c>
      <c r="D23" s="29"/>
      <c r="E23" s="29"/>
    </row>
    <row r="24" customFormat="false" ht="15.95" hidden="false" customHeight="true" outlineLevel="0" collapsed="false">
      <c r="B24" s="30"/>
      <c r="C24" s="30"/>
      <c r="D24" s="30"/>
      <c r="E24" s="30"/>
    </row>
    <row r="25" customFormat="false" ht="15.95" hidden="false" customHeight="true" outlineLevel="0" collapsed="false">
      <c r="B25" s="31" t="s">
        <v>23</v>
      </c>
      <c r="C25" s="31"/>
      <c r="D25" s="31"/>
      <c r="E25" s="31"/>
    </row>
    <row r="26" customFormat="false" ht="15.95" hidden="false" customHeight="true" outlineLevel="0" collapsed="false">
      <c r="B26" s="32" t="s">
        <v>24</v>
      </c>
      <c r="C26" s="33" t="s">
        <v>13</v>
      </c>
      <c r="D26" s="33"/>
      <c r="E26" s="33"/>
    </row>
    <row r="27" customFormat="false" ht="15.95" hidden="false" customHeight="true" outlineLevel="0" collapsed="false">
      <c r="B27" s="34" t="s">
        <v>25</v>
      </c>
      <c r="C27" s="35" t="n">
        <f aca="false">('Transp Altern'!H4/12)+50</f>
        <v>88.4166666666667</v>
      </c>
      <c r="D27" s="35"/>
      <c r="E27" s="35"/>
      <c r="F27" s="36"/>
    </row>
    <row r="28" customFormat="false" ht="15.95" hidden="false" customHeight="true" outlineLevel="0" collapsed="false">
      <c r="B28" s="37" t="s">
        <v>26</v>
      </c>
      <c r="C28" s="25" t="n">
        <f aca="false">(14*0.8*21.01)</f>
        <v>235.312</v>
      </c>
      <c r="D28" s="25"/>
      <c r="E28" s="25"/>
    </row>
    <row r="29" customFormat="false" ht="15.95" hidden="false" customHeight="true" outlineLevel="0" collapsed="false">
      <c r="B29" s="24" t="s">
        <v>27</v>
      </c>
      <c r="C29" s="25" t="n">
        <v>0</v>
      </c>
      <c r="D29" s="25"/>
      <c r="E29" s="25"/>
    </row>
    <row r="30" customFormat="false" ht="15.95" hidden="false" customHeight="true" outlineLevel="0" collapsed="false">
      <c r="B30" s="24" t="s">
        <v>28</v>
      </c>
      <c r="C30" s="25" t="n">
        <v>0</v>
      </c>
      <c r="D30" s="25"/>
      <c r="E30" s="25"/>
    </row>
    <row r="31" customFormat="false" ht="15.95" hidden="false" customHeight="true" outlineLevel="0" collapsed="false">
      <c r="B31" s="24" t="s">
        <v>29</v>
      </c>
      <c r="C31" s="25" t="n">
        <v>0</v>
      </c>
      <c r="D31" s="25"/>
      <c r="E31" s="25"/>
    </row>
    <row r="32" customFormat="false" ht="15.95" hidden="false" customHeight="true" outlineLevel="0" collapsed="false">
      <c r="B32" s="38" t="s">
        <v>30</v>
      </c>
      <c r="C32" s="25" t="n">
        <v>22.7</v>
      </c>
      <c r="D32" s="25"/>
      <c r="E32" s="25"/>
    </row>
    <row r="33" customFormat="false" ht="15.95" hidden="false" customHeight="true" outlineLevel="0" collapsed="false">
      <c r="B33" s="24" t="s">
        <v>31</v>
      </c>
      <c r="C33" s="25" t="n">
        <v>110</v>
      </c>
      <c r="D33" s="25"/>
      <c r="E33" s="25"/>
    </row>
    <row r="34" customFormat="false" ht="15.95" hidden="false" customHeight="true" outlineLevel="0" collapsed="false">
      <c r="B34" s="28" t="s">
        <v>32</v>
      </c>
      <c r="C34" s="39" t="n">
        <f aca="false">SUM(Serv!C27:E33)</f>
        <v>456.428666666667</v>
      </c>
      <c r="D34" s="39"/>
      <c r="E34" s="39"/>
    </row>
    <row r="35" s="40" customFormat="true" ht="15" hidden="false" customHeight="true" outlineLevel="0" collapsed="false">
      <c r="B35" s="41"/>
      <c r="C35" s="41"/>
      <c r="D35" s="41"/>
      <c r="E35" s="41"/>
      <c r="F35" s="42"/>
    </row>
    <row r="36" s="40" customFormat="true" ht="15" hidden="false" customHeight="true" outlineLevel="0" collapsed="false">
      <c r="B36" s="31" t="s">
        <v>33</v>
      </c>
      <c r="C36" s="31"/>
      <c r="D36" s="31"/>
      <c r="E36" s="31"/>
      <c r="F36" s="42"/>
    </row>
    <row r="37" s="40" customFormat="true" ht="15" hidden="false" customHeight="true" outlineLevel="0" collapsed="false">
      <c r="B37" s="32" t="s">
        <v>34</v>
      </c>
      <c r="C37" s="43" t="s">
        <v>13</v>
      </c>
      <c r="D37" s="43"/>
      <c r="E37" s="43"/>
      <c r="F37" s="42"/>
    </row>
    <row r="38" s="40" customFormat="true" ht="15" hidden="false" customHeight="true" outlineLevel="0" collapsed="false">
      <c r="B38" s="44" t="s">
        <v>35</v>
      </c>
      <c r="C38" s="45" t="n">
        <f aca="false">Unif!H8</f>
        <v>20.4205555555556</v>
      </c>
      <c r="D38" s="45"/>
      <c r="E38" s="45"/>
      <c r="F38" s="42"/>
    </row>
    <row r="39" s="40" customFormat="true" ht="15" hidden="false" customHeight="true" outlineLevel="0" collapsed="false">
      <c r="B39" s="44" t="s">
        <v>36</v>
      </c>
      <c r="C39" s="45" t="n">
        <f aca="false">Mat!H32+Mat!I73</f>
        <v>252.632866161616</v>
      </c>
      <c r="D39" s="45"/>
      <c r="E39" s="45"/>
      <c r="F39" s="42"/>
    </row>
    <row r="40" s="40" customFormat="true" ht="18.75" hidden="false" customHeight="true" outlineLevel="0" collapsed="false">
      <c r="B40" s="46" t="s">
        <v>37</v>
      </c>
      <c r="C40" s="25" t="n">
        <f aca="false">Eqto!M20</f>
        <v>25.0027901515152</v>
      </c>
      <c r="D40" s="25"/>
      <c r="E40" s="25"/>
      <c r="F40" s="42"/>
    </row>
    <row r="41" s="40" customFormat="true" ht="13.5" hidden="false" customHeight="true" outlineLevel="0" collapsed="false">
      <c r="B41" s="47" t="s">
        <v>38</v>
      </c>
      <c r="C41" s="39" t="n">
        <f aca="false">SUM(Serv!C38:E40)</f>
        <v>298.056211868687</v>
      </c>
      <c r="D41" s="39"/>
      <c r="E41" s="39"/>
      <c r="F41" s="42"/>
    </row>
    <row r="42" s="40" customFormat="true" ht="13.5" hidden="false" customHeight="true" outlineLevel="0" collapsed="false">
      <c r="B42" s="48"/>
      <c r="C42" s="48"/>
      <c r="D42" s="48"/>
      <c r="E42" s="48"/>
      <c r="F42" s="42"/>
    </row>
    <row r="43" s="40" customFormat="true" ht="13.5" hidden="false" customHeight="true" outlineLevel="0" collapsed="false">
      <c r="B43" s="31" t="s">
        <v>39</v>
      </c>
      <c r="C43" s="31"/>
      <c r="D43" s="31"/>
      <c r="E43" s="31"/>
      <c r="F43" s="42"/>
    </row>
    <row r="44" s="40" customFormat="true" ht="13.5" hidden="false" customHeight="true" outlineLevel="0" collapsed="false">
      <c r="B44" s="49" t="s">
        <v>40</v>
      </c>
      <c r="C44" s="49"/>
      <c r="D44" s="49"/>
      <c r="E44" s="49"/>
      <c r="F44" s="42"/>
    </row>
    <row r="45" s="40" customFormat="true" ht="13.5" hidden="false" customHeight="true" outlineLevel="0" collapsed="false">
      <c r="B45" s="50" t="s">
        <v>41</v>
      </c>
      <c r="C45" s="51" t="s">
        <v>42</v>
      </c>
      <c r="D45" s="52" t="s">
        <v>13</v>
      </c>
      <c r="E45" s="52"/>
      <c r="F45" s="42"/>
    </row>
    <row r="46" s="40" customFormat="true" ht="14.25" hidden="false" customHeight="true" outlineLevel="0" collapsed="false">
      <c r="B46" s="53" t="s">
        <v>43</v>
      </c>
      <c r="C46" s="54" t="n">
        <v>20</v>
      </c>
      <c r="D46" s="55" t="n">
        <f aca="false">Serv!$C$23*(Serv!C46/100)</f>
        <v>212.35</v>
      </c>
      <c r="E46" s="55"/>
      <c r="F46" s="42"/>
    </row>
    <row r="47" s="40" customFormat="true" ht="14.25" hidden="false" customHeight="true" outlineLevel="0" collapsed="false">
      <c r="B47" s="56" t="s">
        <v>44</v>
      </c>
      <c r="C47" s="57" t="n">
        <v>1.5</v>
      </c>
      <c r="D47" s="58" t="n">
        <f aca="false">Serv!$C$23*(Serv!C47/100)</f>
        <v>15.92625</v>
      </c>
      <c r="E47" s="58"/>
      <c r="F47" s="42"/>
    </row>
    <row r="48" s="40" customFormat="true" ht="14.25" hidden="false" customHeight="true" outlineLevel="0" collapsed="false">
      <c r="B48" s="56" t="s">
        <v>45</v>
      </c>
      <c r="C48" s="57" t="n">
        <v>1</v>
      </c>
      <c r="D48" s="58" t="n">
        <f aca="false">Serv!$C$23*(Serv!C48/100)</f>
        <v>10.6175</v>
      </c>
      <c r="E48" s="58"/>
      <c r="F48" s="42"/>
    </row>
    <row r="49" s="40" customFormat="true" ht="14.25" hidden="false" customHeight="true" outlineLevel="0" collapsed="false">
      <c r="B49" s="56" t="s">
        <v>46</v>
      </c>
      <c r="C49" s="57" t="n">
        <v>0.2</v>
      </c>
      <c r="D49" s="58" t="n">
        <f aca="false">Serv!$C$23*(Serv!C49/100)</f>
        <v>2.1235</v>
      </c>
      <c r="E49" s="58"/>
      <c r="F49" s="42"/>
    </row>
    <row r="50" s="40" customFormat="true" ht="14.25" hidden="false" customHeight="true" outlineLevel="0" collapsed="false">
      <c r="B50" s="56" t="s">
        <v>47</v>
      </c>
      <c r="C50" s="57" t="n">
        <v>2.5</v>
      </c>
      <c r="D50" s="58" t="n">
        <f aca="false">Serv!$C$23*(Serv!C50/100)</f>
        <v>26.54375</v>
      </c>
      <c r="E50" s="58"/>
      <c r="F50" s="42"/>
    </row>
    <row r="51" s="40" customFormat="true" ht="14.25" hidden="false" customHeight="true" outlineLevel="0" collapsed="false">
      <c r="B51" s="59" t="s">
        <v>48</v>
      </c>
      <c r="C51" s="60" t="n">
        <v>8</v>
      </c>
      <c r="D51" s="61" t="n">
        <f aca="false">Serv!$C$23*(Serv!C51/100)</f>
        <v>84.94</v>
      </c>
      <c r="E51" s="61"/>
      <c r="F51" s="42"/>
    </row>
    <row r="52" s="40" customFormat="true" ht="14.25" hidden="false" customHeight="true" outlineLevel="0" collapsed="false">
      <c r="B52" s="59" t="s">
        <v>49</v>
      </c>
      <c r="C52" s="60" t="n">
        <v>6</v>
      </c>
      <c r="D52" s="61" t="n">
        <f aca="false">Serv!$C$23*(Serv!C52/100)</f>
        <v>63.705</v>
      </c>
      <c r="E52" s="61"/>
      <c r="F52" s="42"/>
    </row>
    <row r="53" s="40" customFormat="true" ht="14.25" hidden="false" customHeight="true" outlineLevel="0" collapsed="false">
      <c r="B53" s="56" t="s">
        <v>50</v>
      </c>
      <c r="C53" s="57" t="n">
        <v>0.6</v>
      </c>
      <c r="D53" s="58" t="n">
        <f aca="false">Serv!$C$23*(Serv!C53/100)</f>
        <v>6.3705</v>
      </c>
      <c r="E53" s="58"/>
      <c r="F53" s="42"/>
    </row>
    <row r="54" s="40" customFormat="true" ht="14.25" hidden="false" customHeight="true" outlineLevel="0" collapsed="false">
      <c r="B54" s="62" t="s">
        <v>51</v>
      </c>
      <c r="C54" s="63" t="n">
        <f aca="false">SUM(Serv!C46:C53)</f>
        <v>39.8</v>
      </c>
      <c r="D54" s="64" t="n">
        <f aca="false">SUM(Serv!D46:E53)</f>
        <v>422.5765</v>
      </c>
      <c r="E54" s="64"/>
      <c r="F54" s="42"/>
    </row>
    <row r="55" s="40" customFormat="true" ht="14.25" hidden="false" customHeight="true" outlineLevel="0" collapsed="false">
      <c r="B55" s="65" t="s">
        <v>52</v>
      </c>
      <c r="C55" s="66"/>
      <c r="D55" s="66"/>
      <c r="E55" s="66"/>
      <c r="F55" s="42"/>
    </row>
    <row r="56" s="40" customFormat="true" ht="14.25" hidden="false" customHeight="true" outlineLevel="0" collapsed="false">
      <c r="B56" s="67"/>
      <c r="C56" s="66"/>
      <c r="D56" s="66"/>
      <c r="E56" s="66"/>
      <c r="F56" s="42"/>
    </row>
    <row r="57" s="40" customFormat="true" ht="14.25" hidden="false" customHeight="true" outlineLevel="0" collapsed="false">
      <c r="B57" s="68" t="s">
        <v>53</v>
      </c>
      <c r="C57" s="68"/>
      <c r="D57" s="68"/>
      <c r="E57" s="68"/>
      <c r="F57" s="42"/>
    </row>
    <row r="58" s="40" customFormat="true" ht="14.25" hidden="false" customHeight="true" outlineLevel="0" collapsed="false">
      <c r="B58" s="50" t="s">
        <v>54</v>
      </c>
      <c r="C58" s="69" t="s">
        <v>13</v>
      </c>
      <c r="D58" s="69"/>
      <c r="E58" s="69"/>
      <c r="F58" s="42"/>
    </row>
    <row r="59" s="40" customFormat="true" ht="14.25" hidden="false" customHeight="true" outlineLevel="0" collapsed="false">
      <c r="B59" s="53" t="s">
        <v>55</v>
      </c>
      <c r="C59" s="55" t="n">
        <f aca="false">Serv!$C$23*0.0833</f>
        <v>88.443775</v>
      </c>
      <c r="D59" s="55"/>
      <c r="E59" s="55"/>
      <c r="F59" s="70"/>
    </row>
    <row r="60" s="40" customFormat="true" ht="14.25" hidden="false" customHeight="true" outlineLevel="0" collapsed="false">
      <c r="B60" s="59" t="s">
        <v>56</v>
      </c>
      <c r="C60" s="61" t="n">
        <f aca="false">Serv!$C$23*0.0278</f>
        <v>29.51665</v>
      </c>
      <c r="D60" s="61"/>
      <c r="E60" s="61"/>
      <c r="F60" s="42"/>
    </row>
    <row r="61" s="40" customFormat="true" ht="14.25" hidden="false" customHeight="true" outlineLevel="0" collapsed="false">
      <c r="B61" s="71" t="s">
        <v>57</v>
      </c>
      <c r="C61" s="72" t="n">
        <f aca="false">SUM(Serv!C59:E60)</f>
        <v>117.960425</v>
      </c>
      <c r="D61" s="72"/>
      <c r="E61" s="72"/>
      <c r="F61" s="42"/>
      <c r="H61" s="73"/>
    </row>
    <row r="62" s="40" customFormat="true" ht="14.25" hidden="false" customHeight="true" outlineLevel="0" collapsed="false">
      <c r="B62" s="59" t="s">
        <v>58</v>
      </c>
      <c r="C62" s="61" t="n">
        <f aca="false">Serv!C61*(Serv!C54/100)</f>
        <v>46.94824915</v>
      </c>
      <c r="D62" s="61"/>
      <c r="E62" s="61"/>
      <c r="F62" s="42"/>
    </row>
    <row r="63" s="40" customFormat="true" ht="14.25" hidden="false" customHeight="true" outlineLevel="0" collapsed="false">
      <c r="B63" s="62" t="s">
        <v>51</v>
      </c>
      <c r="C63" s="64" t="n">
        <f aca="false">SUM(Serv!C61:E62)</f>
        <v>164.90867415</v>
      </c>
      <c r="D63" s="64"/>
      <c r="E63" s="64"/>
      <c r="F63" s="42"/>
    </row>
    <row r="64" s="40" customFormat="true" ht="14.25" hidden="false" customHeight="true" outlineLevel="0" collapsed="false">
      <c r="B64" s="67"/>
      <c r="C64" s="66"/>
      <c r="D64" s="66"/>
      <c r="E64" s="66"/>
      <c r="F64" s="42"/>
    </row>
    <row r="65" s="40" customFormat="true" ht="14.25" hidden="false" customHeight="true" outlineLevel="0" collapsed="false">
      <c r="B65" s="68" t="s">
        <v>59</v>
      </c>
      <c r="C65" s="68"/>
      <c r="D65" s="68"/>
      <c r="E65" s="68"/>
      <c r="F65" s="42"/>
    </row>
    <row r="66" s="40" customFormat="true" ht="14.25" hidden="false" customHeight="true" outlineLevel="0" collapsed="false">
      <c r="B66" s="50" t="s">
        <v>60</v>
      </c>
      <c r="C66" s="69" t="s">
        <v>13</v>
      </c>
      <c r="D66" s="69"/>
      <c r="E66" s="69"/>
      <c r="F66" s="42"/>
    </row>
    <row r="67" s="40" customFormat="true" ht="14.25" hidden="false" customHeight="true" outlineLevel="0" collapsed="false">
      <c r="B67" s="53" t="s">
        <v>61</v>
      </c>
      <c r="C67" s="55" t="n">
        <f aca="false">(((Serv!C59)+(Serv!C60)+Serv!C32)*6*0.5*0.05)/12</f>
        <v>1.7582553125</v>
      </c>
      <c r="D67" s="55"/>
      <c r="E67" s="55"/>
      <c r="F67" s="42"/>
    </row>
    <row r="68" s="40" customFormat="true" ht="14.25" hidden="false" customHeight="true" outlineLevel="0" collapsed="false">
      <c r="B68" s="59" t="s">
        <v>62</v>
      </c>
      <c r="C68" s="61" t="n">
        <f aca="false">Serv!C67*(Serv!C54/100)</f>
        <v>0.699785614375</v>
      </c>
      <c r="D68" s="61"/>
      <c r="E68" s="61"/>
      <c r="F68" s="42"/>
    </row>
    <row r="69" s="40" customFormat="true" ht="14.25" hidden="false" customHeight="true" outlineLevel="0" collapsed="false">
      <c r="B69" s="62" t="s">
        <v>51</v>
      </c>
      <c r="C69" s="64" t="n">
        <f aca="false">SUM(Serv!C67:E68)</f>
        <v>2.458040926875</v>
      </c>
      <c r="D69" s="64"/>
      <c r="E69" s="64"/>
      <c r="F69" s="74"/>
    </row>
    <row r="70" s="40" customFormat="true" ht="14.25" hidden="false" customHeight="true" outlineLevel="0" collapsed="false">
      <c r="B70" s="67"/>
      <c r="C70" s="66"/>
      <c r="D70" s="66"/>
      <c r="E70" s="66"/>
      <c r="F70" s="42"/>
    </row>
    <row r="71" s="40" customFormat="true" ht="14.25" hidden="false" customHeight="true" outlineLevel="0" collapsed="false">
      <c r="B71" s="68" t="s">
        <v>63</v>
      </c>
      <c r="C71" s="68"/>
      <c r="D71" s="68"/>
      <c r="E71" s="68"/>
      <c r="F71" s="42"/>
    </row>
    <row r="72" s="40" customFormat="true" ht="14.25" hidden="false" customHeight="true" outlineLevel="0" collapsed="false">
      <c r="B72" s="50" t="s">
        <v>64</v>
      </c>
      <c r="C72" s="69" t="s">
        <v>13</v>
      </c>
      <c r="D72" s="69"/>
      <c r="E72" s="69"/>
      <c r="F72" s="42"/>
    </row>
    <row r="73" s="40" customFormat="true" ht="14.25" hidden="false" customHeight="true" outlineLevel="0" collapsed="false">
      <c r="B73" s="53" t="s">
        <v>65</v>
      </c>
      <c r="C73" s="55" t="n">
        <f aca="false">Serv!C23*(0.05*(1/12))</f>
        <v>4.42395833333333</v>
      </c>
      <c r="D73" s="55"/>
      <c r="E73" s="55"/>
      <c r="F73" s="42"/>
    </row>
    <row r="74" s="40" customFormat="true" ht="14.25" hidden="false" customHeight="true" outlineLevel="0" collapsed="false">
      <c r="B74" s="59" t="s">
        <v>66</v>
      </c>
      <c r="C74" s="61" t="n">
        <f aca="false">Serv!C73*(Serv!C54/100)</f>
        <v>1.76073541666667</v>
      </c>
      <c r="D74" s="61"/>
      <c r="E74" s="61"/>
      <c r="F74" s="42"/>
    </row>
    <row r="75" s="40" customFormat="true" ht="14.25" hidden="false" customHeight="true" outlineLevel="0" collapsed="false">
      <c r="B75" s="59" t="s">
        <v>67</v>
      </c>
      <c r="C75" s="61" t="n">
        <f aca="false">Serv!$C$23*(0.08*0.5*0.05)</f>
        <v>2.1235</v>
      </c>
      <c r="D75" s="61"/>
      <c r="E75" s="61"/>
      <c r="F75" s="42"/>
    </row>
    <row r="76" s="40" customFormat="true" ht="14.25" hidden="false" customHeight="true" outlineLevel="0" collapsed="false">
      <c r="B76" s="75" t="s">
        <v>68</v>
      </c>
      <c r="C76" s="61" t="n">
        <f aca="false">Serv!C23*0.01944</f>
        <v>20.64042</v>
      </c>
      <c r="D76" s="61"/>
      <c r="E76" s="61"/>
      <c r="F76" s="42"/>
    </row>
    <row r="77" s="40" customFormat="true" ht="14.25" hidden="false" customHeight="true" outlineLevel="0" collapsed="false">
      <c r="B77" s="59" t="s">
        <v>69</v>
      </c>
      <c r="C77" s="61" t="n">
        <f aca="false">Serv!C76*(Serv!C54/100)</f>
        <v>8.21488716</v>
      </c>
      <c r="D77" s="61"/>
      <c r="E77" s="61"/>
      <c r="F77" s="42"/>
    </row>
    <row r="78" s="40" customFormat="true" ht="14.25" hidden="false" customHeight="true" outlineLevel="0" collapsed="false">
      <c r="B78" s="59" t="s">
        <v>70</v>
      </c>
      <c r="C78" s="61" t="n">
        <f aca="false">Serv!$C$23*(0.08*0.5)</f>
        <v>42.47</v>
      </c>
      <c r="D78" s="61"/>
      <c r="E78" s="61"/>
      <c r="F78" s="42"/>
    </row>
    <row r="79" s="40" customFormat="true" ht="14.25" hidden="false" customHeight="true" outlineLevel="0" collapsed="false">
      <c r="B79" s="62" t="s">
        <v>51</v>
      </c>
      <c r="C79" s="64" t="n">
        <f aca="false">SUM(Serv!C73:E78)</f>
        <v>79.63350091</v>
      </c>
      <c r="D79" s="64"/>
      <c r="E79" s="64"/>
      <c r="F79" s="74"/>
    </row>
    <row r="80" s="40" customFormat="true" ht="14.25" hidden="false" customHeight="true" outlineLevel="0" collapsed="false">
      <c r="B80" s="67"/>
      <c r="C80" s="66"/>
      <c r="D80" s="66"/>
      <c r="E80" s="66"/>
      <c r="F80" s="42"/>
    </row>
    <row r="81" s="40" customFormat="true" ht="14.25" hidden="false" customHeight="true" outlineLevel="0" collapsed="false">
      <c r="B81" s="68" t="s">
        <v>71</v>
      </c>
      <c r="C81" s="68"/>
      <c r="D81" s="68"/>
      <c r="E81" s="68"/>
      <c r="F81" s="42"/>
    </row>
    <row r="82" s="40" customFormat="true" ht="14.25" hidden="false" customHeight="true" outlineLevel="0" collapsed="false">
      <c r="B82" s="50" t="s">
        <v>72</v>
      </c>
      <c r="C82" s="52" t="s">
        <v>13</v>
      </c>
      <c r="D82" s="52"/>
      <c r="E82" s="52"/>
      <c r="F82" s="42"/>
    </row>
    <row r="83" s="76" customFormat="true" ht="15" hidden="false" customHeight="true" outlineLevel="0" collapsed="false">
      <c r="B83" s="77" t="s">
        <v>73</v>
      </c>
      <c r="C83" s="55" t="n">
        <f aca="false">Serv!C23*0.0833</f>
        <v>88.443775</v>
      </c>
      <c r="D83" s="55"/>
      <c r="E83" s="55"/>
      <c r="F83" s="78"/>
    </row>
    <row r="84" s="40" customFormat="true" ht="15" hidden="false" customHeight="true" outlineLevel="0" collapsed="false">
      <c r="B84" s="59" t="s">
        <v>74</v>
      </c>
      <c r="C84" s="61" t="n">
        <f aca="false">Serv!C23*0.0166</f>
        <v>17.62505</v>
      </c>
      <c r="D84" s="61"/>
      <c r="E84" s="61"/>
      <c r="F84" s="42"/>
    </row>
    <row r="85" s="40" customFormat="true" ht="15" hidden="false" customHeight="true" outlineLevel="0" collapsed="false">
      <c r="B85" s="59" t="s">
        <v>75</v>
      </c>
      <c r="C85" s="61" t="n">
        <f aca="false">Serv!C23*0.0002</f>
        <v>0.21235</v>
      </c>
      <c r="D85" s="61"/>
      <c r="E85" s="61"/>
      <c r="F85" s="42"/>
    </row>
    <row r="86" s="40" customFormat="true" ht="15" hidden="false" customHeight="true" outlineLevel="0" collapsed="false">
      <c r="B86" s="59" t="s">
        <v>76</v>
      </c>
      <c r="C86" s="61" t="n">
        <f aca="false">Serv!C23*((2.96/30)/12)</f>
        <v>8.72994444444445</v>
      </c>
      <c r="D86" s="61"/>
      <c r="E86" s="61"/>
      <c r="F86" s="42"/>
    </row>
    <row r="87" s="40" customFormat="true" ht="15" hidden="false" customHeight="true" outlineLevel="0" collapsed="false">
      <c r="B87" s="59" t="s">
        <v>77</v>
      </c>
      <c r="C87" s="61" t="n">
        <f aca="false">Serv!C23*0.0003</f>
        <v>0.318525</v>
      </c>
      <c r="D87" s="61"/>
      <c r="E87" s="61"/>
    </row>
    <row r="88" s="40" customFormat="true" ht="15" hidden="false" customHeight="true" outlineLevel="0" collapsed="false">
      <c r="B88" s="79" t="s">
        <v>78</v>
      </c>
      <c r="C88" s="61" t="n">
        <v>0</v>
      </c>
      <c r="D88" s="61"/>
      <c r="E88" s="61"/>
    </row>
    <row r="89" s="40" customFormat="true" ht="15" hidden="false" customHeight="true" outlineLevel="0" collapsed="false">
      <c r="A89" s="80"/>
      <c r="B89" s="59" t="s">
        <v>79</v>
      </c>
      <c r="C89" s="61" t="n">
        <f aca="false">SUM(Serv!C83:E88)*(Serv!C54/100)</f>
        <v>45.9011984888889</v>
      </c>
      <c r="D89" s="61"/>
      <c r="E89" s="61"/>
    </row>
    <row r="90" s="40" customFormat="true" ht="15" hidden="false" customHeight="true" outlineLevel="0" collapsed="false">
      <c r="A90" s="80"/>
      <c r="B90" s="62" t="s">
        <v>51</v>
      </c>
      <c r="C90" s="64" t="n">
        <f aca="false">SUM(Serv!C83:E89)</f>
        <v>161.230842933333</v>
      </c>
      <c r="D90" s="64"/>
      <c r="E90" s="64"/>
    </row>
    <row r="91" s="76" customFormat="true" ht="15" hidden="false" customHeight="true" outlineLevel="0" collapsed="false">
      <c r="B91" s="81"/>
    </row>
    <row r="92" s="76" customFormat="true" ht="15" hidden="false" customHeight="true" outlineLevel="0" collapsed="false">
      <c r="B92" s="82" t="s">
        <v>80</v>
      </c>
      <c r="C92" s="82"/>
      <c r="D92" s="82"/>
      <c r="E92" s="82"/>
    </row>
    <row r="93" s="76" customFormat="true" ht="15" hidden="false" customHeight="true" outlineLevel="0" collapsed="false">
      <c r="B93" s="83" t="s">
        <v>81</v>
      </c>
      <c r="C93" s="84" t="s">
        <v>13</v>
      </c>
      <c r="D93" s="84"/>
      <c r="E93" s="84"/>
    </row>
    <row r="94" s="76" customFormat="true" ht="15" hidden="false" customHeight="true" outlineLevel="0" collapsed="false">
      <c r="B94" s="77" t="s">
        <v>82</v>
      </c>
      <c r="C94" s="55" t="n">
        <f aca="false">Serv!D54</f>
        <v>422.5765</v>
      </c>
      <c r="D94" s="55"/>
      <c r="E94" s="55"/>
    </row>
    <row r="95" s="76" customFormat="true" ht="15" hidden="false" customHeight="true" outlineLevel="0" collapsed="false">
      <c r="B95" s="85" t="s">
        <v>83</v>
      </c>
      <c r="C95" s="61" t="n">
        <f aca="false">Serv!C63</f>
        <v>164.90867415</v>
      </c>
      <c r="D95" s="61"/>
      <c r="E95" s="61"/>
    </row>
    <row r="96" s="76" customFormat="true" ht="15" hidden="false" customHeight="true" outlineLevel="0" collapsed="false">
      <c r="B96" s="85" t="s">
        <v>84</v>
      </c>
      <c r="C96" s="61" t="n">
        <f aca="false">Serv!C69</f>
        <v>2.458040926875</v>
      </c>
      <c r="D96" s="61"/>
      <c r="E96" s="61"/>
    </row>
    <row r="97" s="76" customFormat="true" ht="15" hidden="false" customHeight="true" outlineLevel="0" collapsed="false">
      <c r="B97" s="85" t="s">
        <v>85</v>
      </c>
      <c r="C97" s="61" t="n">
        <f aca="false">Serv!C79</f>
        <v>79.63350091</v>
      </c>
      <c r="D97" s="61"/>
      <c r="E97" s="61"/>
    </row>
    <row r="98" s="76" customFormat="true" ht="15" hidden="false" customHeight="true" outlineLevel="0" collapsed="false">
      <c r="B98" s="85" t="s">
        <v>86</v>
      </c>
      <c r="C98" s="61" t="n">
        <f aca="false">Serv!C90</f>
        <v>161.230842933333</v>
      </c>
      <c r="D98" s="61"/>
      <c r="E98" s="61"/>
    </row>
    <row r="99" s="76" customFormat="true" ht="15" hidden="false" customHeight="true" outlineLevel="0" collapsed="false">
      <c r="B99" s="85" t="s">
        <v>87</v>
      </c>
      <c r="C99" s="61"/>
      <c r="D99" s="61"/>
      <c r="E99" s="61"/>
    </row>
    <row r="100" s="76" customFormat="true" ht="15" hidden="false" customHeight="true" outlineLevel="0" collapsed="false">
      <c r="B100" s="86" t="s">
        <v>51</v>
      </c>
      <c r="C100" s="64" t="n">
        <f aca="false">SUM(Serv!C94:E99)</f>
        <v>830.807558920208</v>
      </c>
      <c r="D100" s="64"/>
      <c r="E100" s="64"/>
      <c r="F100" s="87"/>
    </row>
    <row r="101" s="76" customFormat="true" ht="15" hidden="false" customHeight="true" outlineLevel="0" collapsed="false">
      <c r="B101" s="81"/>
    </row>
    <row r="102" s="76" customFormat="true" ht="15" hidden="false" customHeight="true" outlineLevel="0" collapsed="false">
      <c r="B102" s="88" t="s">
        <v>88</v>
      </c>
      <c r="C102" s="88"/>
      <c r="D102" s="88"/>
      <c r="E102" s="88"/>
    </row>
    <row r="103" s="76" customFormat="true" ht="15" hidden="false" customHeight="true" outlineLevel="0" collapsed="false">
      <c r="B103" s="83" t="s">
        <v>89</v>
      </c>
      <c r="C103" s="89" t="s">
        <v>42</v>
      </c>
      <c r="D103" s="84" t="s">
        <v>13</v>
      </c>
      <c r="E103" s="84"/>
    </row>
    <row r="104" s="76" customFormat="true" ht="15" hidden="false" customHeight="true" outlineLevel="0" collapsed="false">
      <c r="B104" s="90" t="s">
        <v>90</v>
      </c>
      <c r="C104" s="91" t="n">
        <v>4.5</v>
      </c>
      <c r="D104" s="92" t="n">
        <f aca="false">(Serv!C100+Serv!C41+Serv!C34+Serv!C23)*Serv!C104/100</f>
        <v>119.1169096855</v>
      </c>
      <c r="E104" s="92"/>
    </row>
    <row r="105" s="76" customFormat="true" ht="15" hidden="false" customHeight="true" outlineLevel="0" collapsed="false">
      <c r="B105" s="85" t="s">
        <v>91</v>
      </c>
      <c r="C105" s="93"/>
      <c r="D105" s="61"/>
      <c r="E105" s="61"/>
    </row>
    <row r="106" s="76" customFormat="true" ht="15" hidden="false" customHeight="true" outlineLevel="0" collapsed="false">
      <c r="B106" s="94" t="s">
        <v>92</v>
      </c>
      <c r="C106" s="95" t="n">
        <f aca="false">2.51+0.51</f>
        <v>3.02</v>
      </c>
      <c r="D106" s="61" t="n">
        <f aca="false">((Serv!C100+Serv!C41+Serv!C34+Serv!C23+Serv!D104+Serv!D110)/(1-(Serv!C106+Serv!C108)/100))*(Serv!C106/100)</f>
        <v>95.9261236942833</v>
      </c>
      <c r="E106" s="61"/>
    </row>
    <row r="107" s="76" customFormat="true" ht="15" hidden="false" customHeight="true" outlineLevel="0" collapsed="false">
      <c r="B107" s="85" t="s">
        <v>93</v>
      </c>
      <c r="C107" s="93"/>
      <c r="D107" s="61"/>
      <c r="E107" s="61"/>
    </row>
    <row r="108" s="76" customFormat="true" ht="15" hidden="false" customHeight="true" outlineLevel="0" collapsed="false">
      <c r="B108" s="96" t="s">
        <v>94</v>
      </c>
      <c r="C108" s="95" t="n">
        <v>5</v>
      </c>
      <c r="D108" s="61" t="n">
        <f aca="false">((Serv!C100+Serv!C41+Serv!C34+Serv!C23+Serv!D104+Serv!D110)/(1-(Serv!C106+Serv!C108)/100))*(Serv!C108/100)</f>
        <v>158.818085586562</v>
      </c>
      <c r="E108" s="61"/>
    </row>
    <row r="109" s="76" customFormat="true" ht="15" hidden="false" customHeight="true" outlineLevel="0" collapsed="false">
      <c r="B109" s="85" t="s">
        <v>95</v>
      </c>
      <c r="C109" s="93"/>
      <c r="D109" s="61"/>
      <c r="E109" s="61"/>
    </row>
    <row r="110" s="76" customFormat="true" ht="15" hidden="false" customHeight="true" outlineLevel="0" collapsed="false">
      <c r="B110" s="96" t="s">
        <v>96</v>
      </c>
      <c r="C110" s="95" t="n">
        <v>5.62</v>
      </c>
      <c r="D110" s="61" t="n">
        <f aca="false">(Serv!C100+Serv!C41+Serv!C34+Serv!C23+Serv!D104)*Serv!C110/100</f>
        <v>155.458155309328</v>
      </c>
      <c r="E110" s="61"/>
    </row>
    <row r="111" s="76" customFormat="true" ht="15" hidden="false" customHeight="true" outlineLevel="0" collapsed="false">
      <c r="B111" s="97" t="s">
        <v>51</v>
      </c>
      <c r="C111" s="98" t="n">
        <f aca="false">SUM(Serv!C104:C110)</f>
        <v>18.14</v>
      </c>
      <c r="D111" s="64" t="n">
        <f aca="false">SUM(Serv!D104:E110)</f>
        <v>529.319274275673</v>
      </c>
      <c r="E111" s="64"/>
    </row>
    <row r="112" s="76" customFormat="true" ht="15" hidden="false" customHeight="true" outlineLevel="0" collapsed="false">
      <c r="B112" s="81"/>
    </row>
    <row r="113" s="76" customFormat="true" ht="15" hidden="false" customHeight="true" outlineLevel="0" collapsed="false">
      <c r="B113" s="99" t="s">
        <v>97</v>
      </c>
      <c r="C113" s="99"/>
      <c r="D113" s="99"/>
      <c r="E113" s="99"/>
    </row>
    <row r="114" s="76" customFormat="true" ht="15" hidden="false" customHeight="true" outlineLevel="0" collapsed="false">
      <c r="B114" s="100" t="s">
        <v>98</v>
      </c>
      <c r="C114" s="100"/>
      <c r="D114" s="100"/>
      <c r="E114" s="100"/>
    </row>
    <row r="115" s="76" customFormat="true" ht="15" hidden="false" customHeight="true" outlineLevel="0" collapsed="false">
      <c r="B115" s="81"/>
    </row>
    <row r="116" s="76" customFormat="true" ht="15" hidden="false" customHeight="true" outlineLevel="0" collapsed="false">
      <c r="B116" s="101" t="s">
        <v>99</v>
      </c>
      <c r="C116" s="102" t="s">
        <v>13</v>
      </c>
      <c r="D116" s="102"/>
      <c r="E116" s="102"/>
    </row>
    <row r="117" s="76" customFormat="true" ht="15" hidden="false" customHeight="true" outlineLevel="0" collapsed="false">
      <c r="B117" s="77" t="s">
        <v>100</v>
      </c>
      <c r="C117" s="55" t="n">
        <f aca="false">Serv!C23</f>
        <v>1061.75</v>
      </c>
      <c r="D117" s="55"/>
      <c r="E117" s="55"/>
    </row>
    <row r="118" s="76" customFormat="true" ht="15" hidden="false" customHeight="true" outlineLevel="0" collapsed="false">
      <c r="B118" s="85" t="s">
        <v>101</v>
      </c>
      <c r="C118" s="61" t="n">
        <f aca="false">Serv!C34</f>
        <v>456.428666666667</v>
      </c>
      <c r="D118" s="61"/>
      <c r="E118" s="61"/>
    </row>
    <row r="119" s="76" customFormat="true" ht="15" hidden="false" customHeight="true" outlineLevel="0" collapsed="false">
      <c r="B119" s="85" t="s">
        <v>102</v>
      </c>
      <c r="C119" s="61" t="n">
        <f aca="false">Serv!C41</f>
        <v>298.056211868687</v>
      </c>
      <c r="D119" s="61"/>
      <c r="E119" s="61"/>
    </row>
    <row r="120" s="76" customFormat="true" ht="15" hidden="false" customHeight="true" outlineLevel="0" collapsed="false">
      <c r="B120" s="85" t="s">
        <v>103</v>
      </c>
      <c r="C120" s="61" t="n">
        <f aca="false">Serv!C100</f>
        <v>830.807558920208</v>
      </c>
      <c r="D120" s="61"/>
      <c r="E120" s="61"/>
    </row>
    <row r="121" s="76" customFormat="true" ht="15" hidden="false" customHeight="true" outlineLevel="0" collapsed="false">
      <c r="B121" s="103" t="s">
        <v>104</v>
      </c>
      <c r="C121" s="104" t="n">
        <f aca="false">SUM(Serv!C117:E120)</f>
        <v>2647.04243745556</v>
      </c>
      <c r="D121" s="104"/>
      <c r="E121" s="104"/>
    </row>
    <row r="122" s="76" customFormat="true" ht="15" hidden="false" customHeight="true" outlineLevel="0" collapsed="false">
      <c r="B122" s="85" t="s">
        <v>105</v>
      </c>
      <c r="C122" s="61" t="n">
        <f aca="false">Serv!D111</f>
        <v>529.319274275673</v>
      </c>
      <c r="D122" s="61"/>
      <c r="E122" s="61"/>
    </row>
    <row r="123" s="76" customFormat="true" ht="15" hidden="false" customHeight="true" outlineLevel="0" collapsed="false">
      <c r="B123" s="105" t="s">
        <v>106</v>
      </c>
      <c r="C123" s="106" t="n">
        <f aca="false">371.61/11</f>
        <v>33.7827272727273</v>
      </c>
      <c r="D123" s="106"/>
      <c r="E123" s="106"/>
    </row>
    <row r="124" s="76" customFormat="true" ht="15" hidden="false" customHeight="true" outlineLevel="0" collapsed="false">
      <c r="B124" s="86" t="s">
        <v>107</v>
      </c>
      <c r="C124" s="29" t="n">
        <f aca="false">SUM(Serv!C121:E123)</f>
        <v>3210.14443900396</v>
      </c>
      <c r="D124" s="29"/>
      <c r="E124" s="29"/>
    </row>
    <row r="125" s="76" customFormat="true" ht="15" hidden="false" customHeight="true" outlineLevel="0" collapsed="false">
      <c r="B125" s="107" t="s">
        <v>108</v>
      </c>
      <c r="C125" s="108" t="n">
        <f aca="false">Serv!C124/Serv!C23</f>
        <v>3.02344661078782</v>
      </c>
      <c r="D125" s="108"/>
      <c r="E125" s="108"/>
    </row>
    <row r="1048576" customFormat="false" ht="12.8" hidden="false" customHeight="false" outlineLevel="0" collapsed="false"/>
  </sheetData>
  <mergeCells count="112">
    <mergeCell ref="B1:E1"/>
    <mergeCell ref="C3:E3"/>
    <mergeCell ref="C4:E4"/>
    <mergeCell ref="C6:E6"/>
    <mergeCell ref="C7:E7"/>
    <mergeCell ref="C8:E8"/>
    <mergeCell ref="C9:E9"/>
    <mergeCell ref="C10:E10"/>
    <mergeCell ref="B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B24:E24"/>
    <mergeCell ref="B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B35:E35"/>
    <mergeCell ref="B36:E36"/>
    <mergeCell ref="C37:E37"/>
    <mergeCell ref="C38:E38"/>
    <mergeCell ref="C39:E39"/>
    <mergeCell ref="C40:E40"/>
    <mergeCell ref="C41:E41"/>
    <mergeCell ref="B42:E42"/>
    <mergeCell ref="B43:E43"/>
    <mergeCell ref="B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B57:E57"/>
    <mergeCell ref="C58:E58"/>
    <mergeCell ref="C59:E59"/>
    <mergeCell ref="C60:E60"/>
    <mergeCell ref="C61:E61"/>
    <mergeCell ref="C62:E62"/>
    <mergeCell ref="C63:E63"/>
    <mergeCell ref="B65:E65"/>
    <mergeCell ref="C66:E66"/>
    <mergeCell ref="C67:E67"/>
    <mergeCell ref="C68:E68"/>
    <mergeCell ref="C69:E69"/>
    <mergeCell ref="B71:E71"/>
    <mergeCell ref="C72:E72"/>
    <mergeCell ref="C73:E73"/>
    <mergeCell ref="C74:E74"/>
    <mergeCell ref="C75:E75"/>
    <mergeCell ref="C76:E76"/>
    <mergeCell ref="C77:E77"/>
    <mergeCell ref="C78:E78"/>
    <mergeCell ref="C79:E79"/>
    <mergeCell ref="B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B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B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B113:E113"/>
    <mergeCell ref="B114:E114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</mergeCells>
  <printOptions headings="false" gridLines="false" gridLinesSet="true" horizontalCentered="true" verticalCentered="false"/>
  <pageMargins left="0.7875" right="0.7875" top="1.37777777777778" bottom="0.865972222222222" header="0.7875" footer="0.787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&amp;CPágina &amp;P&amp;RAnálise Repactuação 2017</oddHeader>
    <oddFooter>&amp;CPágina &amp;P&amp;RAnálise Repactuação 2017</oddFooter>
  </headerFooter>
  <colBreaks count="1" manualBreakCount="1">
    <brk id="5" man="true" max="65535" min="0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26"/>
  <sheetViews>
    <sheetView showFormulas="false" showGridLines="true" showRowColHeaders="true" showZeros="true" rightToLeft="false" tabSelected="false" showOutlineSymbols="true" defaultGridColor="true" view="normal" topLeftCell="A31" colorId="64" zoomScale="120" zoomScaleNormal="120" zoomScalePageLayoutView="100" workbookViewId="0">
      <selection pane="topLeft" activeCell="B121" activeCellId="0" sqref="B121"/>
    </sheetView>
  </sheetViews>
  <sheetFormatPr defaultRowHeight="11.25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1" width="65.69"/>
    <col collapsed="false" customWidth="true" hidden="false" outlineLevel="0" max="3" min="3" style="1" width="15.57"/>
    <col collapsed="false" customWidth="true" hidden="false" outlineLevel="0" max="5" min="4" style="1" width="15.71"/>
    <col collapsed="false" customWidth="true" hidden="false" outlineLevel="0" max="6" min="6" style="2" width="20.57"/>
    <col collapsed="false" customWidth="true" hidden="false" outlineLevel="0" max="8" min="7" style="1" width="11.42"/>
    <col collapsed="false" customWidth="true" hidden="false" outlineLevel="0" max="9" min="9" style="1" width="16.87"/>
    <col collapsed="false" customWidth="true" hidden="false" outlineLevel="0" max="10" min="10" style="1" width="16.41"/>
    <col collapsed="false" customWidth="true" hidden="false" outlineLevel="0" max="11" min="11" style="1" width="16.57"/>
    <col collapsed="false" customWidth="true" hidden="false" outlineLevel="0" max="1025" min="12" style="1" width="11.42"/>
  </cols>
  <sheetData>
    <row r="1" customFormat="false" ht="39" hidden="false" customHeight="true" outlineLevel="0" collapsed="false">
      <c r="B1" s="3" t="s">
        <v>0</v>
      </c>
      <c r="C1" s="3"/>
      <c r="D1" s="3"/>
      <c r="E1" s="3"/>
    </row>
    <row r="2" customFormat="false" ht="17.25" hidden="false" customHeight="true" outlineLevel="0" collapsed="false">
      <c r="B2" s="3"/>
      <c r="C2" s="4"/>
      <c r="D2" s="4"/>
      <c r="E2" s="4"/>
    </row>
    <row r="3" customFormat="false" ht="17.25" hidden="false" customHeight="true" outlineLevel="0" collapsed="false">
      <c r="B3" s="5" t="s">
        <v>1</v>
      </c>
      <c r="C3" s="6"/>
      <c r="D3" s="6"/>
      <c r="E3" s="6"/>
    </row>
    <row r="4" customFormat="false" ht="17.25" hidden="false" customHeight="true" outlineLevel="0" collapsed="false">
      <c r="B4" s="7" t="s">
        <v>2</v>
      </c>
      <c r="C4" s="8" t="s">
        <v>3</v>
      </c>
      <c r="D4" s="8"/>
      <c r="E4" s="8"/>
    </row>
    <row r="5" customFormat="false" ht="17.25" hidden="false" customHeight="true" outlineLevel="0" collapsed="false">
      <c r="B5" s="3"/>
      <c r="C5" s="4"/>
      <c r="D5" s="4"/>
      <c r="E5" s="4"/>
    </row>
    <row r="6" customFormat="false" ht="15.95" hidden="false" customHeight="true" outlineLevel="0" collapsed="false">
      <c r="B6" s="9" t="s">
        <v>4</v>
      </c>
      <c r="C6" s="10" t="s">
        <v>5</v>
      </c>
      <c r="D6" s="10"/>
      <c r="E6" s="10"/>
    </row>
    <row r="7" customFormat="false" ht="15.95" hidden="false" customHeight="true" outlineLevel="0" collapsed="false">
      <c r="B7" s="11" t="s">
        <v>6</v>
      </c>
      <c r="C7" s="12" t="n">
        <v>25.22</v>
      </c>
      <c r="D7" s="12"/>
      <c r="E7" s="12"/>
    </row>
    <row r="8" customFormat="false" ht="15.95" hidden="false" customHeight="true" outlineLevel="0" collapsed="false">
      <c r="B8" s="13" t="s">
        <v>7</v>
      </c>
      <c r="C8" s="12" t="n">
        <v>1022.34</v>
      </c>
      <c r="D8" s="12"/>
      <c r="E8" s="12"/>
    </row>
    <row r="9" customFormat="false" ht="15.95" hidden="false" customHeight="true" outlineLevel="0" collapsed="false">
      <c r="B9" s="13" t="s">
        <v>8</v>
      </c>
      <c r="C9" s="12" t="s">
        <v>9</v>
      </c>
      <c r="D9" s="12"/>
      <c r="E9" s="12"/>
    </row>
    <row r="10" customFormat="false" ht="15.95" hidden="false" customHeight="true" outlineLevel="0" collapsed="false">
      <c r="B10" s="15" t="s">
        <v>10</v>
      </c>
      <c r="C10" s="16" t="n">
        <v>42736</v>
      </c>
      <c r="D10" s="16"/>
      <c r="E10" s="16"/>
    </row>
    <row r="11" customFormat="false" ht="15.95" hidden="false" customHeight="true" outlineLevel="0" collapsed="false">
      <c r="B11" s="17"/>
      <c r="C11" s="18"/>
      <c r="D11" s="19"/>
      <c r="E11" s="19"/>
    </row>
    <row r="12" customFormat="false" ht="12" hidden="false" customHeight="true" outlineLevel="0" collapsed="false">
      <c r="C12" s="20"/>
      <c r="D12" s="20"/>
      <c r="E12" s="20"/>
    </row>
    <row r="13" customFormat="false" ht="15.75" hidden="false" customHeight="true" outlineLevel="0" collapsed="false">
      <c r="B13" s="21" t="s">
        <v>11</v>
      </c>
      <c r="C13" s="21"/>
      <c r="D13" s="21"/>
      <c r="E13" s="21"/>
    </row>
    <row r="14" customFormat="false" ht="15.95" hidden="false" customHeight="true" outlineLevel="0" collapsed="false">
      <c r="B14" s="22" t="s">
        <v>12</v>
      </c>
      <c r="C14" s="23" t="s">
        <v>13</v>
      </c>
      <c r="D14" s="23"/>
      <c r="E14" s="23"/>
    </row>
    <row r="15" customFormat="false" ht="15.95" hidden="false" customHeight="true" outlineLevel="0" collapsed="false">
      <c r="B15" s="24" t="s">
        <v>14</v>
      </c>
      <c r="C15" s="25" t="n">
        <v>1022.34</v>
      </c>
      <c r="D15" s="25"/>
      <c r="E15" s="25"/>
    </row>
    <row r="16" customFormat="false" ht="15.95" hidden="false" customHeight="true" outlineLevel="0" collapsed="false">
      <c r="B16" s="24" t="s">
        <v>15</v>
      </c>
      <c r="C16" s="25"/>
      <c r="D16" s="25"/>
      <c r="E16" s="25"/>
    </row>
    <row r="17" customFormat="false" ht="15.95" hidden="false" customHeight="true" outlineLevel="0" collapsed="false">
      <c r="B17" s="24" t="s">
        <v>16</v>
      </c>
      <c r="C17" s="25"/>
      <c r="D17" s="25"/>
      <c r="E17" s="25"/>
    </row>
    <row r="18" customFormat="false" ht="15.95" hidden="false" customHeight="true" outlineLevel="0" collapsed="false">
      <c r="B18" s="26" t="s">
        <v>17</v>
      </c>
      <c r="C18" s="27"/>
      <c r="D18" s="27"/>
      <c r="E18" s="27"/>
    </row>
    <row r="19" customFormat="false" ht="15.95" hidden="false" customHeight="true" outlineLevel="0" collapsed="false">
      <c r="B19" s="26" t="s">
        <v>18</v>
      </c>
      <c r="C19" s="27"/>
      <c r="D19" s="27"/>
      <c r="E19" s="27"/>
    </row>
    <row r="20" customFormat="false" ht="15.95" hidden="false" customHeight="true" outlineLevel="0" collapsed="false">
      <c r="B20" s="26" t="s">
        <v>19</v>
      </c>
      <c r="C20" s="27"/>
      <c r="D20" s="27"/>
      <c r="E20" s="27"/>
    </row>
    <row r="21" customFormat="false" ht="15.95" hidden="false" customHeight="true" outlineLevel="0" collapsed="false">
      <c r="B21" s="26" t="s">
        <v>109</v>
      </c>
      <c r="C21" s="27" t="n">
        <f aca="false">('Líder que Exec.'!C15+'Líder que Exec.'!C23)*0.35</f>
        <v>371.6125</v>
      </c>
      <c r="D21" s="27"/>
      <c r="E21" s="27"/>
    </row>
    <row r="22" customFormat="false" ht="15.95" hidden="false" customHeight="true" outlineLevel="0" collapsed="false">
      <c r="B22" s="26" t="s">
        <v>20</v>
      </c>
      <c r="C22" s="25"/>
      <c r="D22" s="25"/>
      <c r="E22" s="25"/>
    </row>
    <row r="23" customFormat="false" ht="15.95" hidden="false" customHeight="true" outlineLevel="0" collapsed="false">
      <c r="B23" s="26" t="s">
        <v>21</v>
      </c>
      <c r="C23" s="27" t="n">
        <v>39.41</v>
      </c>
      <c r="D23" s="27"/>
      <c r="E23" s="27"/>
    </row>
    <row r="24" customFormat="false" ht="15.95" hidden="false" customHeight="true" outlineLevel="0" collapsed="false">
      <c r="B24" s="28" t="s">
        <v>22</v>
      </c>
      <c r="C24" s="29" t="n">
        <f aca="false">SUM('Líder que Exec.'!C15:E23)</f>
        <v>1433.3625</v>
      </c>
      <c r="D24" s="29"/>
      <c r="E24" s="29"/>
    </row>
    <row r="25" customFormat="false" ht="15.95" hidden="false" customHeight="true" outlineLevel="0" collapsed="false">
      <c r="B25" s="30"/>
      <c r="C25" s="30"/>
      <c r="D25" s="30"/>
      <c r="E25" s="30"/>
    </row>
    <row r="26" customFormat="false" ht="15.95" hidden="false" customHeight="true" outlineLevel="0" collapsed="false">
      <c r="B26" s="31" t="s">
        <v>23</v>
      </c>
      <c r="C26" s="31"/>
      <c r="D26" s="31"/>
      <c r="E26" s="31"/>
    </row>
    <row r="27" customFormat="false" ht="15.95" hidden="false" customHeight="true" outlineLevel="0" collapsed="false">
      <c r="B27" s="32" t="s">
        <v>24</v>
      </c>
      <c r="C27" s="33" t="s">
        <v>13</v>
      </c>
      <c r="D27" s="33"/>
      <c r="E27" s="33"/>
    </row>
    <row r="28" customFormat="false" ht="15.95" hidden="false" customHeight="true" outlineLevel="0" collapsed="false">
      <c r="B28" s="109" t="s">
        <v>25</v>
      </c>
      <c r="C28" s="35" t="n">
        <f aca="false">('Transp Altern'!H4/12)+50</f>
        <v>88.4166666666667</v>
      </c>
      <c r="D28" s="35"/>
      <c r="E28" s="35"/>
      <c r="F28" s="36"/>
    </row>
    <row r="29" customFormat="false" ht="15.95" hidden="false" customHeight="true" outlineLevel="0" collapsed="false">
      <c r="B29" s="24" t="s">
        <v>26</v>
      </c>
      <c r="C29" s="25" t="n">
        <f aca="false">(14*0.8*21.01)</f>
        <v>235.312</v>
      </c>
      <c r="D29" s="25"/>
      <c r="E29" s="25"/>
    </row>
    <row r="30" customFormat="false" ht="15.95" hidden="false" customHeight="true" outlineLevel="0" collapsed="false">
      <c r="B30" s="24" t="s">
        <v>27</v>
      </c>
      <c r="C30" s="25" t="n">
        <v>0</v>
      </c>
      <c r="D30" s="25"/>
      <c r="E30" s="25"/>
    </row>
    <row r="31" customFormat="false" ht="15.95" hidden="false" customHeight="true" outlineLevel="0" collapsed="false">
      <c r="B31" s="24" t="s">
        <v>28</v>
      </c>
      <c r="C31" s="25" t="n">
        <v>0</v>
      </c>
      <c r="D31" s="25"/>
      <c r="E31" s="25"/>
    </row>
    <row r="32" customFormat="false" ht="15.95" hidden="false" customHeight="true" outlineLevel="0" collapsed="false">
      <c r="B32" s="24" t="s">
        <v>29</v>
      </c>
      <c r="C32" s="25" t="n">
        <v>0</v>
      </c>
      <c r="D32" s="25"/>
      <c r="E32" s="25"/>
    </row>
    <row r="33" customFormat="false" ht="15.95" hidden="false" customHeight="true" outlineLevel="0" collapsed="false">
      <c r="B33" s="110" t="s">
        <v>30</v>
      </c>
      <c r="C33" s="25" t="n">
        <v>22.7</v>
      </c>
      <c r="D33" s="25"/>
      <c r="E33" s="25"/>
    </row>
    <row r="34" customFormat="false" ht="15.95" hidden="false" customHeight="true" outlineLevel="0" collapsed="false">
      <c r="B34" s="24" t="s">
        <v>31</v>
      </c>
      <c r="C34" s="25" t="n">
        <v>110</v>
      </c>
      <c r="D34" s="25"/>
      <c r="E34" s="25"/>
    </row>
    <row r="35" customFormat="false" ht="15.95" hidden="false" customHeight="true" outlineLevel="0" collapsed="false">
      <c r="B35" s="28" t="s">
        <v>32</v>
      </c>
      <c r="C35" s="39" t="n">
        <f aca="false">SUM('Líder que Exec.'!C28:E34)</f>
        <v>456.428666666667</v>
      </c>
      <c r="D35" s="39"/>
      <c r="E35" s="39"/>
    </row>
    <row r="36" s="40" customFormat="true" ht="15" hidden="false" customHeight="true" outlineLevel="0" collapsed="false">
      <c r="B36" s="41"/>
      <c r="C36" s="41"/>
      <c r="D36" s="41"/>
      <c r="E36" s="41"/>
      <c r="F36" s="42"/>
    </row>
    <row r="37" s="40" customFormat="true" ht="15" hidden="false" customHeight="true" outlineLevel="0" collapsed="false">
      <c r="B37" s="31" t="s">
        <v>33</v>
      </c>
      <c r="C37" s="31"/>
      <c r="D37" s="31"/>
      <c r="E37" s="31"/>
      <c r="F37" s="42"/>
    </row>
    <row r="38" s="40" customFormat="true" ht="15" hidden="false" customHeight="true" outlineLevel="0" collapsed="false">
      <c r="B38" s="32" t="s">
        <v>34</v>
      </c>
      <c r="C38" s="43" t="s">
        <v>13</v>
      </c>
      <c r="D38" s="43"/>
      <c r="E38" s="43"/>
      <c r="F38" s="42"/>
    </row>
    <row r="39" s="40" customFormat="true" ht="15" hidden="false" customHeight="true" outlineLevel="0" collapsed="false">
      <c r="B39" s="111" t="s">
        <v>35</v>
      </c>
      <c r="C39" s="45" t="n">
        <f aca="false">Unif!H8</f>
        <v>20.4205555555556</v>
      </c>
      <c r="D39" s="45"/>
      <c r="E39" s="45"/>
      <c r="F39" s="42"/>
    </row>
    <row r="40" s="40" customFormat="true" ht="15" hidden="false" customHeight="true" outlineLevel="0" collapsed="false">
      <c r="B40" s="44" t="s">
        <v>36</v>
      </c>
      <c r="C40" s="45" t="n">
        <f aca="false">Mat!H32+Mat!I73</f>
        <v>252.632866161616</v>
      </c>
      <c r="D40" s="45"/>
      <c r="E40" s="45"/>
      <c r="F40" s="42"/>
    </row>
    <row r="41" s="40" customFormat="true" ht="18.75" hidden="false" customHeight="true" outlineLevel="0" collapsed="false">
      <c r="B41" s="46" t="s">
        <v>37</v>
      </c>
      <c r="C41" s="112" t="n">
        <f aca="false">Eqto!M20</f>
        <v>25.0027901515152</v>
      </c>
      <c r="D41" s="112"/>
      <c r="E41" s="112"/>
      <c r="F41" s="42"/>
    </row>
    <row r="42" s="40" customFormat="true" ht="13.5" hidden="false" customHeight="true" outlineLevel="0" collapsed="false">
      <c r="B42" s="47" t="s">
        <v>38</v>
      </c>
      <c r="C42" s="39" t="n">
        <f aca="false">SUM('Líder que Exec.'!C39:E41)</f>
        <v>298.056211868687</v>
      </c>
      <c r="D42" s="39"/>
      <c r="E42" s="39"/>
      <c r="F42" s="42"/>
    </row>
    <row r="43" s="40" customFormat="true" ht="13.5" hidden="false" customHeight="true" outlineLevel="0" collapsed="false">
      <c r="B43" s="48"/>
      <c r="C43" s="48"/>
      <c r="D43" s="48"/>
      <c r="E43" s="48"/>
      <c r="F43" s="42"/>
    </row>
    <row r="44" s="40" customFormat="true" ht="13.5" hidden="false" customHeight="true" outlineLevel="0" collapsed="false">
      <c r="B44" s="31" t="s">
        <v>39</v>
      </c>
      <c r="C44" s="31"/>
      <c r="D44" s="31"/>
      <c r="E44" s="31"/>
      <c r="F44" s="42"/>
    </row>
    <row r="45" s="40" customFormat="true" ht="13.5" hidden="false" customHeight="true" outlineLevel="0" collapsed="false">
      <c r="B45" s="49" t="s">
        <v>40</v>
      </c>
      <c r="C45" s="49"/>
      <c r="D45" s="49"/>
      <c r="E45" s="49"/>
      <c r="F45" s="42"/>
    </row>
    <row r="46" s="40" customFormat="true" ht="13.5" hidden="false" customHeight="true" outlineLevel="0" collapsed="false">
      <c r="B46" s="50" t="s">
        <v>41</v>
      </c>
      <c r="C46" s="51" t="s">
        <v>42</v>
      </c>
      <c r="D46" s="52" t="s">
        <v>13</v>
      </c>
      <c r="E46" s="52"/>
      <c r="F46" s="42"/>
    </row>
    <row r="47" s="40" customFormat="true" ht="14.25" hidden="false" customHeight="true" outlineLevel="0" collapsed="false">
      <c r="B47" s="53" t="s">
        <v>43</v>
      </c>
      <c r="C47" s="54" t="n">
        <v>20</v>
      </c>
      <c r="D47" s="55" t="n">
        <f aca="false">'Líder que Exec.'!$C$24*('Líder que Exec.'!C47/100)</f>
        <v>286.6725</v>
      </c>
      <c r="E47" s="55"/>
      <c r="F47" s="42"/>
    </row>
    <row r="48" s="40" customFormat="true" ht="14.25" hidden="false" customHeight="true" outlineLevel="0" collapsed="false">
      <c r="B48" s="56" t="s">
        <v>44</v>
      </c>
      <c r="C48" s="57" t="n">
        <v>1.5</v>
      </c>
      <c r="D48" s="58" t="n">
        <f aca="false">'Líder que Exec.'!$C$24*('Líder que Exec.'!C48/100)</f>
        <v>21.5004375</v>
      </c>
      <c r="E48" s="58"/>
      <c r="F48" s="42"/>
    </row>
    <row r="49" s="40" customFormat="true" ht="14.25" hidden="false" customHeight="true" outlineLevel="0" collapsed="false">
      <c r="B49" s="56" t="s">
        <v>45</v>
      </c>
      <c r="C49" s="57" t="n">
        <v>1</v>
      </c>
      <c r="D49" s="58" t="n">
        <f aca="false">'Líder que Exec.'!$C$24*('Líder que Exec.'!C49/100)</f>
        <v>14.333625</v>
      </c>
      <c r="E49" s="58"/>
      <c r="F49" s="42"/>
    </row>
    <row r="50" s="40" customFormat="true" ht="14.25" hidden="false" customHeight="true" outlineLevel="0" collapsed="false">
      <c r="B50" s="56" t="s">
        <v>46</v>
      </c>
      <c r="C50" s="57" t="n">
        <v>0.2</v>
      </c>
      <c r="D50" s="58" t="n">
        <f aca="false">'Líder que Exec.'!$C$24*('Líder que Exec.'!C50/100)</f>
        <v>2.866725</v>
      </c>
      <c r="E50" s="58"/>
      <c r="F50" s="42"/>
    </row>
    <row r="51" s="40" customFormat="true" ht="14.25" hidden="false" customHeight="true" outlineLevel="0" collapsed="false">
      <c r="B51" s="56" t="s">
        <v>47</v>
      </c>
      <c r="C51" s="57" t="n">
        <v>2.5</v>
      </c>
      <c r="D51" s="58" t="n">
        <f aca="false">'Líder que Exec.'!$C$24*('Líder que Exec.'!C51/100)</f>
        <v>35.8340625</v>
      </c>
      <c r="E51" s="58"/>
      <c r="F51" s="42"/>
    </row>
    <row r="52" s="40" customFormat="true" ht="14.25" hidden="false" customHeight="true" outlineLevel="0" collapsed="false">
      <c r="B52" s="59" t="s">
        <v>48</v>
      </c>
      <c r="C52" s="60" t="n">
        <v>8</v>
      </c>
      <c r="D52" s="61" t="n">
        <f aca="false">'Líder que Exec.'!$C$24*('Líder que Exec.'!C52/100)</f>
        <v>114.669</v>
      </c>
      <c r="E52" s="61"/>
      <c r="F52" s="42"/>
    </row>
    <row r="53" s="40" customFormat="true" ht="14.25" hidden="false" customHeight="true" outlineLevel="0" collapsed="false">
      <c r="B53" s="59" t="s">
        <v>49</v>
      </c>
      <c r="C53" s="60" t="n">
        <v>6</v>
      </c>
      <c r="D53" s="61" t="n">
        <f aca="false">'Líder que Exec.'!$C$24*('Líder que Exec.'!C53/100)</f>
        <v>86.00175</v>
      </c>
      <c r="E53" s="61"/>
      <c r="F53" s="42"/>
    </row>
    <row r="54" s="40" customFormat="true" ht="14.25" hidden="false" customHeight="true" outlineLevel="0" collapsed="false">
      <c r="B54" s="56" t="s">
        <v>50</v>
      </c>
      <c r="C54" s="57" t="n">
        <v>0.6</v>
      </c>
      <c r="D54" s="58" t="n">
        <f aca="false">'Líder que Exec.'!$C$24*('Líder que Exec.'!C54/100)</f>
        <v>8.600175</v>
      </c>
      <c r="E54" s="58"/>
      <c r="F54" s="42"/>
    </row>
    <row r="55" s="40" customFormat="true" ht="14.25" hidden="false" customHeight="true" outlineLevel="0" collapsed="false">
      <c r="B55" s="62" t="s">
        <v>51</v>
      </c>
      <c r="C55" s="63" t="n">
        <f aca="false">SUM('Líder que Exec.'!C47:C54)</f>
        <v>39.8</v>
      </c>
      <c r="D55" s="64" t="n">
        <f aca="false">SUM('Líder que Exec.'!D47:E54)</f>
        <v>570.478275</v>
      </c>
      <c r="E55" s="64"/>
      <c r="F55" s="42"/>
    </row>
    <row r="56" s="40" customFormat="true" ht="14.25" hidden="false" customHeight="true" outlineLevel="0" collapsed="false">
      <c r="B56" s="65" t="s">
        <v>52</v>
      </c>
      <c r="C56" s="66"/>
      <c r="D56" s="66"/>
      <c r="E56" s="66"/>
      <c r="F56" s="42"/>
    </row>
    <row r="57" s="40" customFormat="true" ht="14.25" hidden="false" customHeight="true" outlineLevel="0" collapsed="false">
      <c r="B57" s="67"/>
      <c r="C57" s="66"/>
      <c r="D57" s="66"/>
      <c r="E57" s="66"/>
      <c r="F57" s="42"/>
    </row>
    <row r="58" s="40" customFormat="true" ht="14.25" hidden="false" customHeight="true" outlineLevel="0" collapsed="false">
      <c r="B58" s="68" t="s">
        <v>53</v>
      </c>
      <c r="C58" s="68"/>
      <c r="D58" s="68"/>
      <c r="E58" s="68"/>
      <c r="F58" s="42"/>
    </row>
    <row r="59" s="40" customFormat="true" ht="14.25" hidden="false" customHeight="true" outlineLevel="0" collapsed="false">
      <c r="B59" s="50" t="s">
        <v>54</v>
      </c>
      <c r="C59" s="69" t="s">
        <v>13</v>
      </c>
      <c r="D59" s="69"/>
      <c r="E59" s="69"/>
      <c r="F59" s="42"/>
    </row>
    <row r="60" s="40" customFormat="true" ht="14.25" hidden="false" customHeight="true" outlineLevel="0" collapsed="false">
      <c r="B60" s="53" t="s">
        <v>55</v>
      </c>
      <c r="C60" s="55" t="n">
        <f aca="false">'Líder que Exec.'!$C$24*0.0833</f>
        <v>119.39909625</v>
      </c>
      <c r="D60" s="55"/>
      <c r="E60" s="55"/>
      <c r="F60" s="70"/>
    </row>
    <row r="61" s="40" customFormat="true" ht="14.25" hidden="false" customHeight="true" outlineLevel="0" collapsed="false">
      <c r="B61" s="59" t="s">
        <v>56</v>
      </c>
      <c r="C61" s="61" t="n">
        <f aca="false">'Líder que Exec.'!$C$24*0.0278</f>
        <v>39.8474775</v>
      </c>
      <c r="D61" s="61"/>
      <c r="E61" s="61"/>
      <c r="F61" s="42"/>
    </row>
    <row r="62" s="40" customFormat="true" ht="14.25" hidden="false" customHeight="true" outlineLevel="0" collapsed="false">
      <c r="B62" s="71" t="s">
        <v>57</v>
      </c>
      <c r="C62" s="72" t="n">
        <f aca="false">SUM('Líder que Exec.'!C60:E61)</f>
        <v>159.24657375</v>
      </c>
      <c r="D62" s="72"/>
      <c r="E62" s="72"/>
      <c r="F62" s="42"/>
      <c r="H62" s="73"/>
    </row>
    <row r="63" s="40" customFormat="true" ht="14.25" hidden="false" customHeight="true" outlineLevel="0" collapsed="false">
      <c r="B63" s="59" t="s">
        <v>58</v>
      </c>
      <c r="C63" s="61" t="n">
        <f aca="false">'Líder que Exec.'!C62*('Líder que Exec.'!C55/100)</f>
        <v>63.3801363525</v>
      </c>
      <c r="D63" s="61"/>
      <c r="E63" s="61"/>
      <c r="F63" s="42"/>
    </row>
    <row r="64" s="40" customFormat="true" ht="14.25" hidden="false" customHeight="true" outlineLevel="0" collapsed="false">
      <c r="B64" s="62" t="s">
        <v>51</v>
      </c>
      <c r="C64" s="64" t="n">
        <f aca="false">SUM('Líder que Exec.'!C62:E63)</f>
        <v>222.6267101025</v>
      </c>
      <c r="D64" s="64"/>
      <c r="E64" s="64"/>
      <c r="F64" s="42"/>
    </row>
    <row r="65" s="40" customFormat="true" ht="14.25" hidden="false" customHeight="true" outlineLevel="0" collapsed="false">
      <c r="B65" s="67"/>
      <c r="C65" s="66"/>
      <c r="D65" s="66"/>
      <c r="E65" s="66"/>
      <c r="F65" s="42"/>
    </row>
    <row r="66" s="40" customFormat="true" ht="14.25" hidden="false" customHeight="true" outlineLevel="0" collapsed="false">
      <c r="B66" s="68" t="s">
        <v>59</v>
      </c>
      <c r="C66" s="68"/>
      <c r="D66" s="68"/>
      <c r="E66" s="68"/>
      <c r="F66" s="42"/>
    </row>
    <row r="67" s="40" customFormat="true" ht="14.25" hidden="false" customHeight="true" outlineLevel="0" collapsed="false">
      <c r="B67" s="50" t="s">
        <v>60</v>
      </c>
      <c r="C67" s="69" t="s">
        <v>13</v>
      </c>
      <c r="D67" s="69"/>
      <c r="E67" s="69"/>
      <c r="F67" s="42"/>
    </row>
    <row r="68" s="40" customFormat="true" ht="14.25" hidden="false" customHeight="true" outlineLevel="0" collapsed="false">
      <c r="B68" s="53" t="s">
        <v>61</v>
      </c>
      <c r="C68" s="55" t="n">
        <f aca="false">((('Líder que Exec.'!C60)+('Líder que Exec.'!C61)+'Líder que Exec.'!C33)*4*0.6181*0.0606)/12</f>
        <v>2.27171578014448</v>
      </c>
      <c r="D68" s="55"/>
      <c r="E68" s="55"/>
      <c r="F68" s="42"/>
    </row>
    <row r="69" s="40" customFormat="true" ht="14.25" hidden="false" customHeight="true" outlineLevel="0" collapsed="false">
      <c r="B69" s="59" t="s">
        <v>62</v>
      </c>
      <c r="C69" s="61" t="n">
        <f aca="false">'Líder que Exec.'!C68*('Líder que Exec.'!C55/100)</f>
        <v>0.904142880497503</v>
      </c>
      <c r="D69" s="61"/>
      <c r="E69" s="61"/>
      <c r="F69" s="42"/>
    </row>
    <row r="70" s="40" customFormat="true" ht="14.25" hidden="false" customHeight="true" outlineLevel="0" collapsed="false">
      <c r="B70" s="62" t="s">
        <v>51</v>
      </c>
      <c r="C70" s="64" t="n">
        <f aca="false">SUM('Líder que Exec.'!C68:E69)</f>
        <v>3.17585866064198</v>
      </c>
      <c r="D70" s="64"/>
      <c r="E70" s="64"/>
      <c r="F70" s="74"/>
    </row>
    <row r="71" s="40" customFormat="true" ht="14.25" hidden="false" customHeight="true" outlineLevel="0" collapsed="false">
      <c r="B71" s="67"/>
      <c r="C71" s="66"/>
      <c r="D71" s="66"/>
      <c r="E71" s="66"/>
      <c r="F71" s="42"/>
    </row>
    <row r="72" s="40" customFormat="true" ht="14.25" hidden="false" customHeight="true" outlineLevel="0" collapsed="false">
      <c r="B72" s="68" t="s">
        <v>63</v>
      </c>
      <c r="C72" s="68"/>
      <c r="D72" s="68"/>
      <c r="E72" s="68"/>
      <c r="F72" s="42"/>
    </row>
    <row r="73" s="40" customFormat="true" ht="14.25" hidden="false" customHeight="true" outlineLevel="0" collapsed="false">
      <c r="B73" s="50" t="s">
        <v>64</v>
      </c>
      <c r="C73" s="69" t="s">
        <v>13</v>
      </c>
      <c r="D73" s="69"/>
      <c r="E73" s="69"/>
      <c r="F73" s="42"/>
    </row>
    <row r="74" s="40" customFormat="true" ht="14.25" hidden="false" customHeight="true" outlineLevel="0" collapsed="false">
      <c r="B74" s="53" t="s">
        <v>65</v>
      </c>
      <c r="C74" s="55" t="n">
        <f aca="false">'Líder que Exec.'!C24*(0.05*(1/12))</f>
        <v>5.97234375</v>
      </c>
      <c r="D74" s="55"/>
      <c r="E74" s="55"/>
      <c r="F74" s="42"/>
    </row>
    <row r="75" s="40" customFormat="true" ht="14.25" hidden="false" customHeight="true" outlineLevel="0" collapsed="false">
      <c r="B75" s="59" t="s">
        <v>66</v>
      </c>
      <c r="C75" s="61" t="n">
        <f aca="false">'Líder que Exec.'!C74*('Líder que Exec.'!C55/100)</f>
        <v>2.3769928125</v>
      </c>
      <c r="D75" s="61"/>
      <c r="E75" s="61"/>
      <c r="F75" s="42"/>
    </row>
    <row r="76" s="40" customFormat="true" ht="14.25" hidden="false" customHeight="true" outlineLevel="0" collapsed="false">
      <c r="B76" s="59" t="s">
        <v>67</v>
      </c>
      <c r="C76" s="61" t="n">
        <f aca="false">'Líder que Exec.'!$C$24*(0.08*0.5*0.05)</f>
        <v>2.866725</v>
      </c>
      <c r="D76" s="61"/>
      <c r="E76" s="61"/>
      <c r="F76" s="42"/>
    </row>
    <row r="77" s="40" customFormat="true" ht="14.25" hidden="false" customHeight="true" outlineLevel="0" collapsed="false">
      <c r="B77" s="59" t="s">
        <v>68</v>
      </c>
      <c r="C77" s="61" t="n">
        <f aca="false">'Líder que Exec.'!C24*0.01944</f>
        <v>27.864567</v>
      </c>
      <c r="D77" s="61"/>
      <c r="E77" s="61"/>
      <c r="F77" s="42"/>
    </row>
    <row r="78" s="40" customFormat="true" ht="14.25" hidden="false" customHeight="true" outlineLevel="0" collapsed="false">
      <c r="B78" s="59" t="s">
        <v>69</v>
      </c>
      <c r="C78" s="61" t="n">
        <f aca="false">'Líder que Exec.'!C77*('Líder que Exec.'!C55/100)</f>
        <v>11.090097666</v>
      </c>
      <c r="D78" s="61"/>
      <c r="E78" s="61"/>
      <c r="F78" s="42"/>
    </row>
    <row r="79" s="40" customFormat="true" ht="14.25" hidden="false" customHeight="true" outlineLevel="0" collapsed="false">
      <c r="B79" s="59" t="s">
        <v>70</v>
      </c>
      <c r="C79" s="61" t="n">
        <f aca="false">'Líder que Exec.'!$C$24*(0.08*0.5)</f>
        <v>57.3345</v>
      </c>
      <c r="D79" s="61"/>
      <c r="E79" s="61"/>
      <c r="F79" s="42"/>
    </row>
    <row r="80" s="40" customFormat="true" ht="14.25" hidden="false" customHeight="true" outlineLevel="0" collapsed="false">
      <c r="B80" s="62" t="s">
        <v>51</v>
      </c>
      <c r="C80" s="64" t="n">
        <f aca="false">SUM('Líder que Exec.'!C74:E79)</f>
        <v>107.5052262285</v>
      </c>
      <c r="D80" s="64"/>
      <c r="E80" s="64"/>
      <c r="F80" s="74"/>
    </row>
    <row r="81" s="40" customFormat="true" ht="14.25" hidden="false" customHeight="true" outlineLevel="0" collapsed="false">
      <c r="B81" s="67"/>
      <c r="C81" s="66"/>
      <c r="D81" s="66"/>
      <c r="E81" s="66"/>
      <c r="F81" s="42"/>
    </row>
    <row r="82" s="40" customFormat="true" ht="14.25" hidden="false" customHeight="true" outlineLevel="0" collapsed="false">
      <c r="B82" s="68" t="s">
        <v>71</v>
      </c>
      <c r="C82" s="68"/>
      <c r="D82" s="68"/>
      <c r="E82" s="68"/>
      <c r="F82" s="42"/>
    </row>
    <row r="83" s="40" customFormat="true" ht="14.25" hidden="false" customHeight="true" outlineLevel="0" collapsed="false">
      <c r="B83" s="50" t="s">
        <v>72</v>
      </c>
      <c r="C83" s="52" t="s">
        <v>13</v>
      </c>
      <c r="D83" s="52"/>
      <c r="E83" s="52"/>
      <c r="F83" s="42"/>
    </row>
    <row r="84" s="76" customFormat="true" ht="15" hidden="false" customHeight="true" outlineLevel="0" collapsed="false">
      <c r="B84" s="77" t="s">
        <v>73</v>
      </c>
      <c r="C84" s="55" t="n">
        <f aca="false">'Líder que Exec.'!C24*0.0833</f>
        <v>119.39909625</v>
      </c>
      <c r="D84" s="55"/>
      <c r="E84" s="55"/>
      <c r="F84" s="78"/>
    </row>
    <row r="85" s="40" customFormat="true" ht="15" hidden="false" customHeight="true" outlineLevel="0" collapsed="false">
      <c r="B85" s="59" t="s">
        <v>74</v>
      </c>
      <c r="C85" s="61" t="n">
        <f aca="false">'Líder que Exec.'!C24*0.0166</f>
        <v>23.7938175</v>
      </c>
      <c r="D85" s="61"/>
      <c r="E85" s="61"/>
      <c r="F85" s="42"/>
    </row>
    <row r="86" s="40" customFormat="true" ht="15" hidden="false" customHeight="true" outlineLevel="0" collapsed="false">
      <c r="B86" s="59" t="s">
        <v>75</v>
      </c>
      <c r="C86" s="61" t="n">
        <f aca="false">'Líder que Exec.'!C24*0.0002</f>
        <v>0.2866725</v>
      </c>
      <c r="D86" s="61"/>
      <c r="E86" s="61"/>
      <c r="F86" s="42"/>
    </row>
    <row r="87" s="40" customFormat="true" ht="15" hidden="false" customHeight="true" outlineLevel="0" collapsed="false">
      <c r="B87" s="59" t="s">
        <v>76</v>
      </c>
      <c r="C87" s="61" t="n">
        <f aca="false">'Líder que Exec.'!C24*((2.96/30)/12)</f>
        <v>11.785425</v>
      </c>
      <c r="D87" s="61"/>
      <c r="E87" s="61"/>
      <c r="F87" s="42"/>
    </row>
    <row r="88" s="40" customFormat="true" ht="15" hidden="false" customHeight="true" outlineLevel="0" collapsed="false">
      <c r="B88" s="59" t="s">
        <v>77</v>
      </c>
      <c r="C88" s="61" t="n">
        <f aca="false">'Líder que Exec.'!C24*0.0003</f>
        <v>0.43000875</v>
      </c>
      <c r="D88" s="61"/>
      <c r="E88" s="61"/>
    </row>
    <row r="89" s="40" customFormat="true" ht="15" hidden="false" customHeight="true" outlineLevel="0" collapsed="false">
      <c r="B89" s="79" t="s">
        <v>78</v>
      </c>
      <c r="C89" s="61" t="n">
        <v>0</v>
      </c>
      <c r="D89" s="61"/>
      <c r="E89" s="61"/>
    </row>
    <row r="90" s="40" customFormat="true" ht="15" hidden="false" customHeight="true" outlineLevel="0" collapsed="false">
      <c r="A90" s="80"/>
      <c r="B90" s="59" t="s">
        <v>79</v>
      </c>
      <c r="C90" s="61" t="n">
        <f aca="false">SUM('Líder que Exec.'!C84:E89)*('Líder que Exec.'!C55/100)</f>
        <v>61.96661796</v>
      </c>
      <c r="D90" s="61"/>
      <c r="E90" s="61"/>
    </row>
    <row r="91" s="40" customFormat="true" ht="15" hidden="false" customHeight="true" outlineLevel="0" collapsed="false">
      <c r="A91" s="80"/>
      <c r="B91" s="62" t="s">
        <v>51</v>
      </c>
      <c r="C91" s="64" t="n">
        <f aca="false">SUM('Líder que Exec.'!C84:E90)</f>
        <v>217.66163796</v>
      </c>
      <c r="D91" s="64"/>
      <c r="E91" s="64"/>
    </row>
    <row r="92" s="76" customFormat="true" ht="15" hidden="false" customHeight="true" outlineLevel="0" collapsed="false">
      <c r="B92" s="81"/>
    </row>
    <row r="93" s="76" customFormat="true" ht="15" hidden="false" customHeight="true" outlineLevel="0" collapsed="false">
      <c r="B93" s="82" t="s">
        <v>80</v>
      </c>
      <c r="C93" s="82"/>
      <c r="D93" s="82"/>
      <c r="E93" s="82"/>
    </row>
    <row r="94" s="76" customFormat="true" ht="15" hidden="false" customHeight="true" outlineLevel="0" collapsed="false">
      <c r="B94" s="83" t="s">
        <v>81</v>
      </c>
      <c r="C94" s="84" t="s">
        <v>13</v>
      </c>
      <c r="D94" s="84"/>
      <c r="E94" s="84"/>
    </row>
    <row r="95" s="76" customFormat="true" ht="15" hidden="false" customHeight="true" outlineLevel="0" collapsed="false">
      <c r="B95" s="77" t="s">
        <v>82</v>
      </c>
      <c r="C95" s="55" t="n">
        <f aca="false">'Líder que Exec.'!D55</f>
        <v>570.478275</v>
      </c>
      <c r="D95" s="55"/>
      <c r="E95" s="55"/>
    </row>
    <row r="96" s="76" customFormat="true" ht="15" hidden="false" customHeight="true" outlineLevel="0" collapsed="false">
      <c r="B96" s="85" t="s">
        <v>83</v>
      </c>
      <c r="C96" s="61" t="n">
        <f aca="false">'Líder que Exec.'!C64</f>
        <v>222.6267101025</v>
      </c>
      <c r="D96" s="61"/>
      <c r="E96" s="61"/>
    </row>
    <row r="97" s="76" customFormat="true" ht="15" hidden="false" customHeight="true" outlineLevel="0" collapsed="false">
      <c r="B97" s="85" t="s">
        <v>84</v>
      </c>
      <c r="C97" s="61" t="n">
        <f aca="false">'Líder que Exec.'!C70</f>
        <v>3.17585866064198</v>
      </c>
      <c r="D97" s="61"/>
      <c r="E97" s="61"/>
    </row>
    <row r="98" s="76" customFormat="true" ht="15" hidden="false" customHeight="true" outlineLevel="0" collapsed="false">
      <c r="B98" s="85" t="s">
        <v>85</v>
      </c>
      <c r="C98" s="61" t="n">
        <f aca="false">'Líder que Exec.'!C80</f>
        <v>107.5052262285</v>
      </c>
      <c r="D98" s="61"/>
      <c r="E98" s="61"/>
    </row>
    <row r="99" s="76" customFormat="true" ht="15" hidden="false" customHeight="true" outlineLevel="0" collapsed="false">
      <c r="B99" s="85" t="s">
        <v>86</v>
      </c>
      <c r="C99" s="61" t="n">
        <f aca="false">'Líder que Exec.'!C91</f>
        <v>217.66163796</v>
      </c>
      <c r="D99" s="61"/>
      <c r="E99" s="61"/>
    </row>
    <row r="100" s="76" customFormat="true" ht="15" hidden="false" customHeight="true" outlineLevel="0" collapsed="false">
      <c r="B100" s="85" t="s">
        <v>87</v>
      </c>
      <c r="C100" s="61"/>
      <c r="D100" s="61"/>
      <c r="E100" s="61"/>
    </row>
    <row r="101" s="76" customFormat="true" ht="15" hidden="false" customHeight="true" outlineLevel="0" collapsed="false">
      <c r="B101" s="86" t="s">
        <v>51</v>
      </c>
      <c r="C101" s="64" t="n">
        <f aca="false">SUM('Líder que Exec.'!C95:E100)</f>
        <v>1121.44770795164</v>
      </c>
      <c r="D101" s="64"/>
      <c r="E101" s="64"/>
      <c r="F101" s="87"/>
    </row>
    <row r="102" s="76" customFormat="true" ht="15" hidden="false" customHeight="true" outlineLevel="0" collapsed="false">
      <c r="B102" s="81"/>
    </row>
    <row r="103" s="76" customFormat="true" ht="15" hidden="false" customHeight="true" outlineLevel="0" collapsed="false">
      <c r="B103" s="88" t="s">
        <v>88</v>
      </c>
      <c r="C103" s="88"/>
      <c r="D103" s="88"/>
      <c r="E103" s="88"/>
    </row>
    <row r="104" s="76" customFormat="true" ht="15" hidden="false" customHeight="true" outlineLevel="0" collapsed="false">
      <c r="B104" s="83" t="s">
        <v>89</v>
      </c>
      <c r="C104" s="89" t="s">
        <v>42</v>
      </c>
      <c r="D104" s="84" t="s">
        <v>13</v>
      </c>
      <c r="E104" s="84"/>
    </row>
    <row r="105" s="76" customFormat="true" ht="15" hidden="false" customHeight="true" outlineLevel="0" collapsed="false">
      <c r="B105" s="77" t="s">
        <v>90</v>
      </c>
      <c r="C105" s="113" t="n">
        <v>4.5</v>
      </c>
      <c r="D105" s="55" t="n">
        <f aca="false">('Líder que Exec.'!C101+'Líder que Exec.'!C42+'Líder que Exec.'!C35+'Líder que Exec.'!C24)*'Líder que Exec.'!C105/100</f>
        <v>148.918278891915</v>
      </c>
      <c r="E105" s="55"/>
    </row>
    <row r="106" s="76" customFormat="true" ht="15" hidden="false" customHeight="true" outlineLevel="0" collapsed="false">
      <c r="B106" s="85" t="s">
        <v>91</v>
      </c>
      <c r="C106" s="93"/>
      <c r="D106" s="61"/>
      <c r="E106" s="61"/>
    </row>
    <row r="107" s="76" customFormat="true" ht="15" hidden="false" customHeight="true" outlineLevel="0" collapsed="false">
      <c r="B107" s="114" t="s">
        <v>92</v>
      </c>
      <c r="C107" s="95" t="n">
        <f aca="false">2.51+0.51</f>
        <v>3.02</v>
      </c>
      <c r="D107" s="61" t="n">
        <f aca="false">(('Líder que Exec.'!C101+'Líder que Exec.'!C42+'Líder que Exec.'!C35+'Líder que Exec.'!C24+'Líder que Exec.'!D105+'Líder que Exec.'!D111)/(1-('Líder que Exec.'!C107+'Líder que Exec.'!C109)/100))*('Líder que Exec.'!C107/100)</f>
        <v>119.925485634593</v>
      </c>
      <c r="E107" s="61"/>
    </row>
    <row r="108" s="76" customFormat="true" ht="15" hidden="false" customHeight="true" outlineLevel="0" collapsed="false">
      <c r="B108" s="85" t="s">
        <v>93</v>
      </c>
      <c r="C108" s="93"/>
      <c r="D108" s="61"/>
      <c r="E108" s="61"/>
    </row>
    <row r="109" s="76" customFormat="true" ht="15" hidden="false" customHeight="true" outlineLevel="0" collapsed="false">
      <c r="B109" s="85" t="s">
        <v>94</v>
      </c>
      <c r="C109" s="95" t="n">
        <v>5</v>
      </c>
      <c r="D109" s="61" t="n">
        <f aca="false">(('Líder que Exec.'!C101+'Líder que Exec.'!C42+'Líder que Exec.'!C35+'Líder que Exec.'!C24+'Líder que Exec.'!D105+'Líder que Exec.'!D111)/(1-('Líder que Exec.'!C107+'Líder que Exec.'!C109)/100))*('Líder que Exec.'!C109/100)</f>
        <v>198.552128534095</v>
      </c>
      <c r="E109" s="61"/>
    </row>
    <row r="110" s="76" customFormat="true" ht="15" hidden="false" customHeight="true" outlineLevel="0" collapsed="false">
      <c r="B110" s="85" t="s">
        <v>95</v>
      </c>
      <c r="C110" s="93"/>
      <c r="D110" s="61"/>
      <c r="E110" s="61"/>
    </row>
    <row r="111" s="76" customFormat="true" ht="15" hidden="false" customHeight="true" outlineLevel="0" collapsed="false">
      <c r="B111" s="85" t="s">
        <v>96</v>
      </c>
      <c r="C111" s="95" t="n">
        <v>5.62</v>
      </c>
      <c r="D111" s="61" t="n">
        <f aca="false">('Líder que Exec.'!C101+'Líder que Exec.'!C42+'Líder que Exec.'!C35+'Líder que Exec.'!C24+'Líder que Exec.'!D105)*'Líder que Exec.'!C111/100</f>
        <v>194.351591134295</v>
      </c>
      <c r="E111" s="61"/>
    </row>
    <row r="112" s="76" customFormat="true" ht="15" hidden="false" customHeight="true" outlineLevel="0" collapsed="false">
      <c r="B112" s="86" t="s">
        <v>51</v>
      </c>
      <c r="C112" s="98" t="n">
        <f aca="false">SUM('Líder que Exec.'!C105:C111)</f>
        <v>18.14</v>
      </c>
      <c r="D112" s="64" t="n">
        <f aca="false">SUM('Líder que Exec.'!D105:E111)</f>
        <v>661.747484194898</v>
      </c>
      <c r="E112" s="64"/>
    </row>
    <row r="113" s="76" customFormat="true" ht="15" hidden="false" customHeight="true" outlineLevel="0" collapsed="false">
      <c r="B113" s="81"/>
    </row>
    <row r="114" s="76" customFormat="true" ht="15" hidden="false" customHeight="true" outlineLevel="0" collapsed="false">
      <c r="B114" s="99" t="s">
        <v>97</v>
      </c>
      <c r="C114" s="99"/>
      <c r="D114" s="99"/>
      <c r="E114" s="99"/>
    </row>
    <row r="115" s="76" customFormat="true" ht="15" hidden="false" customHeight="true" outlineLevel="0" collapsed="false">
      <c r="B115" s="100" t="s">
        <v>98</v>
      </c>
      <c r="C115" s="100"/>
      <c r="D115" s="100"/>
      <c r="E115" s="100"/>
    </row>
    <row r="116" s="76" customFormat="true" ht="15" hidden="false" customHeight="true" outlineLevel="0" collapsed="false">
      <c r="B116" s="81"/>
    </row>
    <row r="117" s="76" customFormat="true" ht="15" hidden="false" customHeight="true" outlineLevel="0" collapsed="false">
      <c r="B117" s="101" t="s">
        <v>99</v>
      </c>
      <c r="C117" s="102" t="s">
        <v>13</v>
      </c>
      <c r="D117" s="102"/>
      <c r="E117" s="102"/>
    </row>
    <row r="118" s="76" customFormat="true" ht="15" hidden="false" customHeight="true" outlineLevel="0" collapsed="false">
      <c r="B118" s="77" t="s">
        <v>100</v>
      </c>
      <c r="C118" s="55" t="n">
        <f aca="false">'Líder que Exec.'!C24</f>
        <v>1433.3625</v>
      </c>
      <c r="D118" s="55"/>
      <c r="E118" s="55"/>
    </row>
    <row r="119" s="76" customFormat="true" ht="15" hidden="false" customHeight="true" outlineLevel="0" collapsed="false">
      <c r="B119" s="85" t="s">
        <v>101</v>
      </c>
      <c r="C119" s="61" t="n">
        <f aca="false">'Líder que Exec.'!C35</f>
        <v>456.428666666667</v>
      </c>
      <c r="D119" s="61"/>
      <c r="E119" s="61"/>
    </row>
    <row r="120" s="76" customFormat="true" ht="15" hidden="false" customHeight="true" outlineLevel="0" collapsed="false">
      <c r="B120" s="85" t="s">
        <v>102</v>
      </c>
      <c r="C120" s="61" t="n">
        <f aca="false">'Líder que Exec.'!C42</f>
        <v>298.056211868687</v>
      </c>
      <c r="D120" s="61"/>
      <c r="E120" s="61"/>
    </row>
    <row r="121" s="76" customFormat="true" ht="15" hidden="false" customHeight="true" outlineLevel="0" collapsed="false">
      <c r="B121" s="85" t="s">
        <v>103</v>
      </c>
      <c r="C121" s="61" t="n">
        <f aca="false">'Líder que Exec.'!C101</f>
        <v>1121.44770795164</v>
      </c>
      <c r="D121" s="61"/>
      <c r="E121" s="61"/>
    </row>
    <row r="122" s="76" customFormat="true" ht="15" hidden="false" customHeight="true" outlineLevel="0" collapsed="false">
      <c r="B122" s="103" t="s">
        <v>104</v>
      </c>
      <c r="C122" s="104" t="n">
        <f aca="false">SUM('Líder que Exec.'!C118:E121)</f>
        <v>3309.295086487</v>
      </c>
      <c r="D122" s="104"/>
      <c r="E122" s="104"/>
    </row>
    <row r="123" s="76" customFormat="true" ht="15" hidden="false" customHeight="true" outlineLevel="0" collapsed="false">
      <c r="B123" s="85" t="s">
        <v>105</v>
      </c>
      <c r="C123" s="61" t="n">
        <f aca="false">'Líder que Exec.'!D112</f>
        <v>661.747484194898</v>
      </c>
      <c r="D123" s="61"/>
      <c r="E123" s="61"/>
    </row>
    <row r="124" s="76" customFormat="true" ht="15" hidden="false" customHeight="true" outlineLevel="0" collapsed="false">
      <c r="B124" s="86" t="s">
        <v>107</v>
      </c>
      <c r="C124" s="29" t="n">
        <f aca="false">SUM('Líder que Exec.'!C122:E123)</f>
        <v>3971.04257068189</v>
      </c>
      <c r="D124" s="29"/>
      <c r="E124" s="29"/>
    </row>
    <row r="125" s="76" customFormat="true" ht="15" hidden="false" customHeight="true" outlineLevel="0" collapsed="false">
      <c r="B125" s="115" t="s">
        <v>108</v>
      </c>
      <c r="C125" s="116" t="n">
        <f aca="false">'Líder que Exec.'!C124/'Líder que Exec.'!C24</f>
        <v>2.77043844155396</v>
      </c>
      <c r="D125" s="116"/>
      <c r="E125" s="116"/>
    </row>
    <row r="126" s="76" customFormat="true" ht="28.5" hidden="false" customHeight="true" outlineLevel="0" collapsed="false">
      <c r="B126" s="117" t="s">
        <v>110</v>
      </c>
      <c r="C126" s="118" t="n">
        <f aca="false">'Líder que Exec.'!C124-Serv!C124</f>
        <v>760.89813167793</v>
      </c>
      <c r="D126" s="118"/>
      <c r="E126" s="118"/>
    </row>
  </sheetData>
  <mergeCells count="113">
    <mergeCell ref="B1:E1"/>
    <mergeCell ref="C3:E3"/>
    <mergeCell ref="C4:E4"/>
    <mergeCell ref="C6:E6"/>
    <mergeCell ref="C7:E7"/>
    <mergeCell ref="C8:E8"/>
    <mergeCell ref="C9:E9"/>
    <mergeCell ref="C10:E10"/>
    <mergeCell ref="B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25:E25"/>
    <mergeCell ref="B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C42:E42"/>
    <mergeCell ref="B43:E43"/>
    <mergeCell ref="B44:E44"/>
    <mergeCell ref="B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B58:E58"/>
    <mergeCell ref="C59:E59"/>
    <mergeCell ref="C60:E60"/>
    <mergeCell ref="C61:E61"/>
    <mergeCell ref="C62:E62"/>
    <mergeCell ref="C63:E63"/>
    <mergeCell ref="C64:E64"/>
    <mergeCell ref="B66:E66"/>
    <mergeCell ref="C67:E67"/>
    <mergeCell ref="C68:E68"/>
    <mergeCell ref="C69:E69"/>
    <mergeCell ref="C70:E70"/>
    <mergeCell ref="B72:E72"/>
    <mergeCell ref="C73:E73"/>
    <mergeCell ref="C74:E74"/>
    <mergeCell ref="C75:E75"/>
    <mergeCell ref="C76:E76"/>
    <mergeCell ref="C77:E77"/>
    <mergeCell ref="C78:E78"/>
    <mergeCell ref="C79:E79"/>
    <mergeCell ref="C80:E80"/>
    <mergeCell ref="B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B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B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B114:E114"/>
    <mergeCell ref="B115:E115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</mergeCells>
  <printOptions headings="false" gridLines="false" gridLinesSet="true" horizontalCentered="true" verticalCentered="false"/>
  <pageMargins left="0.7875" right="0.7875" top="1.37777777777778" bottom="1.06319444444444" header="0.7875" footer="0.787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&amp;CPágina &amp;P&amp;RAnálise Repactuação 2017</oddHeader>
    <oddFooter>&amp;CPágina &amp;P&amp;RAnálise Repactuação 2017</oddFooter>
  </headerFooter>
  <colBreaks count="1" manualBreakCount="1">
    <brk id="5" man="true" max="65535" min="0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2F2F2"/>
    <pageSetUpPr fitToPage="true"/>
  </sheetPr>
  <dimension ref="A1:M25"/>
  <sheetViews>
    <sheetView showFormulas="false" showGridLines="true" showRowColHeaders="true" showZeros="true" rightToLeft="false" tabSelected="false" showOutlineSymbols="true" defaultGridColor="true" view="normal" topLeftCell="B1" colorId="64" zoomScale="120" zoomScaleNormal="120" zoomScalePageLayoutView="100" workbookViewId="0">
      <selection pane="topLeft" activeCell="M20" activeCellId="0" sqref="M20"/>
    </sheetView>
  </sheetViews>
  <sheetFormatPr defaultRowHeight="12.8" zeroHeight="false" outlineLevelRow="0" outlineLevelCol="0"/>
  <cols>
    <col collapsed="false" customWidth="true" hidden="false" outlineLevel="0" max="1" min="1" style="0" width="70.14"/>
    <col collapsed="false" customWidth="true" hidden="false" outlineLevel="0" max="2" min="2" style="0" width="12.15"/>
    <col collapsed="false" customWidth="true" hidden="false" outlineLevel="0" max="3" min="3" style="0" width="10.42"/>
    <col collapsed="false" customWidth="true" hidden="false" outlineLevel="0" max="4" min="4" style="0" width="16.29"/>
    <col collapsed="false" customWidth="true" hidden="false" outlineLevel="0" max="5" min="5" style="0" width="16"/>
    <col collapsed="false" customWidth="true" hidden="false" outlineLevel="0" max="6" min="6" style="0" width="14.43"/>
    <col collapsed="false" customWidth="true" hidden="false" outlineLevel="0" max="7" min="7" style="0" width="12.86"/>
    <col collapsed="false" customWidth="true" hidden="false" outlineLevel="0" max="8" min="8" style="0" width="12.29"/>
    <col collapsed="false" customWidth="true" hidden="false" outlineLevel="0" max="10" min="9" style="0" width="12.86"/>
    <col collapsed="false" customWidth="true" hidden="false" outlineLevel="0" max="11" min="11" style="0" width="14.15"/>
    <col collapsed="false" customWidth="true" hidden="false" outlineLevel="0" max="12" min="12" style="0" width="14.28"/>
    <col collapsed="false" customWidth="true" hidden="false" outlineLevel="0" max="13" min="13" style="0" width="15.42"/>
    <col collapsed="false" customWidth="true" hidden="false" outlineLevel="0" max="1025" min="14" style="0" width="9.29"/>
  </cols>
  <sheetData>
    <row r="1" customFormat="false" ht="12.75" hidden="false" customHeight="false" outlineLevel="0" collapsed="false">
      <c r="A1" s="119" t="s">
        <v>111</v>
      </c>
      <c r="B1" s="119" t="s">
        <v>111</v>
      </c>
    </row>
    <row r="2" customFormat="false" ht="12.75" hidden="false" customHeight="false" outlineLevel="0" collapsed="false">
      <c r="D2" s="120" t="s">
        <v>112</v>
      </c>
      <c r="E2" s="120" t="s">
        <v>113</v>
      </c>
      <c r="F2" s="120" t="s">
        <v>114</v>
      </c>
    </row>
    <row r="3" customFormat="false" ht="38.25" hidden="false" customHeight="false" outlineLevel="0" collapsed="false">
      <c r="A3" s="121" t="s">
        <v>115</v>
      </c>
      <c r="B3" s="121" t="s">
        <v>116</v>
      </c>
      <c r="C3" s="122" t="s">
        <v>117</v>
      </c>
      <c r="D3" s="122" t="s">
        <v>118</v>
      </c>
      <c r="E3" s="122" t="s">
        <v>118</v>
      </c>
      <c r="F3" s="123" t="s">
        <v>118</v>
      </c>
      <c r="G3" s="122" t="s">
        <v>119</v>
      </c>
      <c r="H3" s="124" t="s">
        <v>120</v>
      </c>
      <c r="I3" s="122" t="s">
        <v>121</v>
      </c>
      <c r="J3" s="122" t="s">
        <v>122</v>
      </c>
      <c r="K3" s="122" t="s">
        <v>123</v>
      </c>
      <c r="L3" s="123" t="s">
        <v>124</v>
      </c>
      <c r="M3" s="122" t="s">
        <v>125</v>
      </c>
    </row>
    <row r="4" customFormat="false" ht="19.4" hidden="false" customHeight="false" outlineLevel="0" collapsed="false">
      <c r="A4" s="125" t="s">
        <v>126</v>
      </c>
      <c r="B4" s="126" t="n">
        <v>1</v>
      </c>
      <c r="C4" s="125"/>
      <c r="D4" s="127" t="n">
        <v>350</v>
      </c>
      <c r="E4" s="127" t="n">
        <v>472.23</v>
      </c>
      <c r="F4" s="127" t="n">
        <v>385</v>
      </c>
      <c r="G4" s="128" t="n">
        <f aca="false">AVERAGE(Eqto!D4:F4)</f>
        <v>402.41</v>
      </c>
      <c r="H4" s="129" t="n">
        <f aca="false">Eqto!G4*Eqto!B4</f>
        <v>402.41</v>
      </c>
      <c r="I4" s="130" t="n">
        <f aca="false">0.0025*Eqto!H4</f>
        <v>1.006025</v>
      </c>
      <c r="J4" s="131"/>
      <c r="K4" s="132" t="n">
        <v>60</v>
      </c>
      <c r="L4" s="133" t="n">
        <f aca="false">IF(Eqto!K4&lt;&gt;"",(Eqto!H4)/Eqto!K4,"")</f>
        <v>6.70683333333333</v>
      </c>
      <c r="M4" s="134" t="n">
        <f aca="false">Eqto!I4+Eqto!J4+Eqto!L4</f>
        <v>7.71285833333333</v>
      </c>
    </row>
    <row r="5" customFormat="false" ht="12.8" hidden="false" customHeight="false" outlineLevel="0" collapsed="false">
      <c r="A5" s="125" t="s">
        <v>127</v>
      </c>
      <c r="B5" s="126" t="n">
        <v>2</v>
      </c>
      <c r="C5" s="125"/>
      <c r="D5" s="127" t="n">
        <v>726.3</v>
      </c>
      <c r="E5" s="127" t="n">
        <v>837</v>
      </c>
      <c r="F5" s="127" t="n">
        <v>874.15</v>
      </c>
      <c r="G5" s="128" t="n">
        <f aca="false">AVERAGE(Eqto!D5:F5)</f>
        <v>812.483333333333</v>
      </c>
      <c r="H5" s="129" t="n">
        <f aca="false">Eqto!G5*Eqto!B5</f>
        <v>1624.96666666667</v>
      </c>
      <c r="I5" s="130" t="n">
        <f aca="false">0.0025*Eqto!H5</f>
        <v>4.06241666666667</v>
      </c>
      <c r="J5" s="131"/>
      <c r="K5" s="132" t="n">
        <v>60</v>
      </c>
      <c r="L5" s="133" t="n">
        <f aca="false">IF(Eqto!K5&lt;&gt;"",(Eqto!H5)/Eqto!K5,"")</f>
        <v>27.0827777777778</v>
      </c>
      <c r="M5" s="134" t="n">
        <f aca="false">Eqto!I5+Eqto!J5+Eqto!L5</f>
        <v>31.1451944444444</v>
      </c>
    </row>
    <row r="6" customFormat="false" ht="14.95" hidden="false" customHeight="true" outlineLevel="0" collapsed="false">
      <c r="A6" s="135" t="s">
        <v>128</v>
      </c>
      <c r="B6" s="136" t="n">
        <v>4</v>
      </c>
      <c r="C6" s="137"/>
      <c r="D6" s="138" t="n">
        <v>498.59</v>
      </c>
      <c r="E6" s="138" t="n">
        <v>357.67</v>
      </c>
      <c r="F6" s="138" t="n">
        <v>299</v>
      </c>
      <c r="G6" s="128" t="n">
        <f aca="false">AVERAGE(Eqto!D6:F6)</f>
        <v>385.086666666667</v>
      </c>
      <c r="H6" s="129" t="n">
        <f aca="false">Eqto!G6*Eqto!B6</f>
        <v>1540.34666666667</v>
      </c>
      <c r="I6" s="130" t="n">
        <f aca="false">0.0025*Eqto!H6</f>
        <v>3.85086666666667</v>
      </c>
      <c r="J6" s="137"/>
      <c r="K6" s="139" t="n">
        <v>60</v>
      </c>
      <c r="L6" s="133" t="n">
        <f aca="false">IF(Eqto!K6&lt;&gt;"",(Eqto!H6)/Eqto!K6,"")</f>
        <v>25.6724444444444</v>
      </c>
      <c r="M6" s="134" t="n">
        <f aca="false">Eqto!I6+Eqto!J6+Eqto!L6</f>
        <v>29.5233111111111</v>
      </c>
    </row>
    <row r="7" customFormat="false" ht="19.4" hidden="false" customHeight="false" outlineLevel="0" collapsed="false">
      <c r="A7" s="125" t="s">
        <v>129</v>
      </c>
      <c r="B7" s="126" t="n">
        <v>1</v>
      </c>
      <c r="C7" s="125"/>
      <c r="D7" s="140" t="n">
        <v>1688.8</v>
      </c>
      <c r="E7" s="141" t="n">
        <v>1299</v>
      </c>
      <c r="F7" s="141" t="n">
        <v>1139.53</v>
      </c>
      <c r="G7" s="128" t="n">
        <f aca="false">AVERAGE(Eqto!D7:F7)</f>
        <v>1375.77666666667</v>
      </c>
      <c r="H7" s="129" t="n">
        <f aca="false">Eqto!G7*Eqto!B7</f>
        <v>1375.77666666667</v>
      </c>
      <c r="I7" s="130" t="n">
        <f aca="false">0.0025*Eqto!H7</f>
        <v>3.43944166666667</v>
      </c>
      <c r="J7" s="127" t="n">
        <v>23.5</v>
      </c>
      <c r="K7" s="132" t="n">
        <v>60</v>
      </c>
      <c r="L7" s="133" t="n">
        <f aca="false">IF(Eqto!K7&lt;&gt;"",(Eqto!H7)/Eqto!K7,"")</f>
        <v>22.9296111111111</v>
      </c>
      <c r="M7" s="134" t="n">
        <f aca="false">Eqto!I7+Eqto!J7+Eqto!L7</f>
        <v>49.8690527777778</v>
      </c>
    </row>
    <row r="8" customFormat="false" ht="12.8" hidden="false" customHeight="false" outlineLevel="0" collapsed="false">
      <c r="A8" s="142" t="s">
        <v>130</v>
      </c>
      <c r="B8" s="126" t="n">
        <v>1</v>
      </c>
      <c r="C8" s="125"/>
      <c r="D8" s="140" t="n">
        <v>1161.26</v>
      </c>
      <c r="E8" s="141" t="n">
        <v>970</v>
      </c>
      <c r="F8" s="141" t="n">
        <v>1075</v>
      </c>
      <c r="G8" s="128" t="n">
        <f aca="false">AVERAGE(Eqto!D8:F8)</f>
        <v>1068.75333333333</v>
      </c>
      <c r="H8" s="129" t="n">
        <f aca="false">Eqto!G8*Eqto!B8</f>
        <v>1068.75333333333</v>
      </c>
      <c r="I8" s="130" t="n">
        <f aca="false">0.0025*Eqto!H8</f>
        <v>2.67188333333333</v>
      </c>
      <c r="J8" s="127"/>
      <c r="K8" s="132" t="n">
        <v>60</v>
      </c>
      <c r="L8" s="133" t="n">
        <f aca="false">IF(Eqto!K8&lt;&gt;"",(Eqto!H8)/Eqto!K8,"")</f>
        <v>17.8125555555556</v>
      </c>
      <c r="M8" s="134" t="n">
        <f aca="false">Eqto!I8+Eqto!J8+Eqto!L8</f>
        <v>20.4844388888889</v>
      </c>
    </row>
    <row r="9" customFormat="false" ht="12.8" hidden="false" customHeight="false" outlineLevel="0" collapsed="false">
      <c r="A9" s="135" t="s">
        <v>131</v>
      </c>
      <c r="B9" s="126" t="n">
        <v>1</v>
      </c>
      <c r="C9" s="125"/>
      <c r="D9" s="140" t="n">
        <v>1909.46</v>
      </c>
      <c r="E9" s="141" t="n">
        <v>1690.89</v>
      </c>
      <c r="F9" s="141" t="n">
        <v>1480</v>
      </c>
      <c r="G9" s="128" t="n">
        <f aca="false">AVERAGE(Eqto!D9:F9)</f>
        <v>1693.45</v>
      </c>
      <c r="H9" s="129" t="n">
        <f aca="false">Eqto!G9*Eqto!B9</f>
        <v>1693.45</v>
      </c>
      <c r="I9" s="130" t="n">
        <f aca="false">0.0025*Eqto!H9</f>
        <v>4.233625</v>
      </c>
      <c r="J9" s="127"/>
      <c r="K9" s="132" t="n">
        <v>60</v>
      </c>
      <c r="L9" s="133" t="n">
        <f aca="false">IF(Eqto!K9&lt;&gt;"",(Eqto!H9)/Eqto!K9,"")</f>
        <v>28.2241666666667</v>
      </c>
      <c r="M9" s="134" t="n">
        <f aca="false">Eqto!I9+Eqto!J9+Eqto!L9</f>
        <v>32.4577916666667</v>
      </c>
    </row>
    <row r="10" customFormat="false" ht="12.8" hidden="false" customHeight="false" outlineLevel="0" collapsed="false">
      <c r="A10" s="143" t="s">
        <v>132</v>
      </c>
      <c r="B10" s="144" t="n">
        <v>1</v>
      </c>
      <c r="C10" s="143"/>
      <c r="D10" s="140" t="n">
        <v>797.89</v>
      </c>
      <c r="E10" s="141" t="n">
        <v>1243.33</v>
      </c>
      <c r="F10" s="141" t="n">
        <v>1442</v>
      </c>
      <c r="G10" s="128" t="n">
        <f aca="false">AVERAGE(Eqto!D10:F10)</f>
        <v>1161.07333333333</v>
      </c>
      <c r="H10" s="129" t="n">
        <f aca="false">Eqto!G10*Eqto!B10</f>
        <v>1161.07333333333</v>
      </c>
      <c r="I10" s="130" t="n">
        <f aca="false">0.0025*Eqto!H10</f>
        <v>2.90268333333333</v>
      </c>
      <c r="J10" s="131"/>
      <c r="K10" s="132" t="n">
        <v>60</v>
      </c>
      <c r="L10" s="133" t="n">
        <f aca="false">IF(Eqto!K10&lt;&gt;"",(Eqto!H10)/Eqto!K10,"")</f>
        <v>19.3512222222222</v>
      </c>
      <c r="M10" s="134" t="n">
        <f aca="false">Eqto!I10+Eqto!J10+Eqto!L10</f>
        <v>22.2539055555556</v>
      </c>
    </row>
    <row r="11" customFormat="false" ht="20.45" hidden="false" customHeight="false" outlineLevel="0" collapsed="false">
      <c r="A11" s="143" t="s">
        <v>133</v>
      </c>
      <c r="B11" s="126" t="n">
        <v>1</v>
      </c>
      <c r="C11" s="125"/>
      <c r="D11" s="140" t="n">
        <v>624.97</v>
      </c>
      <c r="E11" s="141" t="n">
        <v>703.98</v>
      </c>
      <c r="F11" s="141" t="n">
        <v>626.66</v>
      </c>
      <c r="G11" s="128" t="n">
        <f aca="false">AVERAGE(Eqto!D11:F11)</f>
        <v>651.87</v>
      </c>
      <c r="H11" s="129" t="n">
        <f aca="false">Eqto!G11*Eqto!B11</f>
        <v>651.87</v>
      </c>
      <c r="I11" s="130" t="n">
        <f aca="false">0.0025*Eqto!H11</f>
        <v>1.629675</v>
      </c>
      <c r="J11" s="131"/>
      <c r="K11" s="132" t="n">
        <v>60</v>
      </c>
      <c r="L11" s="133" t="n">
        <f aca="false">IF(Eqto!K11&lt;&gt;"",(Eqto!H11)/Eqto!K11,"")</f>
        <v>10.8645</v>
      </c>
      <c r="M11" s="134" t="n">
        <f aca="false">Eqto!I11+Eqto!J11+Eqto!L11</f>
        <v>12.494175</v>
      </c>
    </row>
    <row r="12" customFormat="false" ht="22.45" hidden="false" customHeight="true" outlineLevel="0" collapsed="false">
      <c r="A12" s="143" t="s">
        <v>134</v>
      </c>
      <c r="B12" s="126" t="n">
        <v>2</v>
      </c>
      <c r="C12" s="125"/>
      <c r="D12" s="140" t="n">
        <v>312.15</v>
      </c>
      <c r="E12" s="141" t="n">
        <v>359.15</v>
      </c>
      <c r="F12" s="141" t="n">
        <v>439.95</v>
      </c>
      <c r="G12" s="128" t="n">
        <f aca="false">AVERAGE(Eqto!D12:F12)</f>
        <v>370.416666666667</v>
      </c>
      <c r="H12" s="129" t="n">
        <f aca="false">Eqto!G12*Eqto!B12</f>
        <v>740.833333333333</v>
      </c>
      <c r="I12" s="130" t="n">
        <f aca="false">0.0025*Eqto!H12</f>
        <v>1.85208333333333</v>
      </c>
      <c r="J12" s="131"/>
      <c r="K12" s="132" t="n">
        <v>60</v>
      </c>
      <c r="L12" s="133" t="n">
        <f aca="false">IF(Eqto!K12&lt;&gt;"",(Eqto!H12)/Eqto!K12,"")</f>
        <v>12.3472222222222</v>
      </c>
      <c r="M12" s="134" t="n">
        <f aca="false">Eqto!I12+Eqto!J12+Eqto!L12</f>
        <v>14.1993055555556</v>
      </c>
    </row>
    <row r="13" customFormat="false" ht="12.8" hidden="false" customHeight="false" outlineLevel="0" collapsed="false">
      <c r="A13" s="125" t="s">
        <v>135</v>
      </c>
      <c r="B13" s="126" t="n">
        <v>2</v>
      </c>
      <c r="C13" s="125"/>
      <c r="D13" s="140" t="n">
        <v>89.27</v>
      </c>
      <c r="E13" s="141" t="n">
        <v>97.86</v>
      </c>
      <c r="F13" s="141" t="n">
        <v>94.97</v>
      </c>
      <c r="G13" s="128" t="n">
        <f aca="false">AVERAGE(Eqto!D13:F13)</f>
        <v>94.0333333333333</v>
      </c>
      <c r="H13" s="129" t="n">
        <f aca="false">Eqto!G13*Eqto!B13</f>
        <v>188.066666666667</v>
      </c>
      <c r="I13" s="130" t="n">
        <f aca="false">0.0025*Eqto!H13</f>
        <v>0.470166666666667</v>
      </c>
      <c r="J13" s="131"/>
      <c r="K13" s="132" t="n">
        <v>60</v>
      </c>
      <c r="L13" s="133" t="n">
        <f aca="false">IF(Eqto!K13&lt;&gt;"",(Eqto!H13)/Eqto!K13,"")</f>
        <v>3.13444444444444</v>
      </c>
      <c r="M13" s="134" t="n">
        <f aca="false">Eqto!I13+Eqto!J13+Eqto!L13</f>
        <v>3.60461111111111</v>
      </c>
    </row>
    <row r="14" customFormat="false" ht="12.8" hidden="false" customHeight="false" outlineLevel="0" collapsed="false">
      <c r="A14" s="125" t="s">
        <v>136</v>
      </c>
      <c r="B14" s="126" t="n">
        <v>2</v>
      </c>
      <c r="C14" s="125"/>
      <c r="D14" s="140" t="n">
        <v>141.45</v>
      </c>
      <c r="E14" s="141" t="n">
        <v>149.36</v>
      </c>
      <c r="F14" s="141" t="n">
        <v>150.47</v>
      </c>
      <c r="G14" s="128" t="n">
        <f aca="false">AVERAGE(Eqto!D14:F14)</f>
        <v>147.093333333333</v>
      </c>
      <c r="H14" s="129" t="n">
        <f aca="false">Eqto!G14*Eqto!B14</f>
        <v>294.186666666667</v>
      </c>
      <c r="I14" s="130" t="n">
        <f aca="false">0.0025*Eqto!H14</f>
        <v>0.735466666666667</v>
      </c>
      <c r="J14" s="131"/>
      <c r="K14" s="132" t="n">
        <v>60</v>
      </c>
      <c r="L14" s="133" t="n">
        <f aca="false">IF(Eqto!K14&lt;&gt;"",(Eqto!H14)/Eqto!K14,"")</f>
        <v>4.90311111111111</v>
      </c>
      <c r="M14" s="134" t="n">
        <f aca="false">Eqto!I14+Eqto!J14+Eqto!L14</f>
        <v>5.63857777777778</v>
      </c>
    </row>
    <row r="15" customFormat="false" ht="19.4" hidden="false" customHeight="false" outlineLevel="0" collapsed="false">
      <c r="A15" s="125" t="s">
        <v>137</v>
      </c>
      <c r="B15" s="144" t="n">
        <v>3</v>
      </c>
      <c r="C15" s="143"/>
      <c r="D15" s="140" t="n">
        <v>214</v>
      </c>
      <c r="E15" s="141" t="n">
        <v>247.06</v>
      </c>
      <c r="F15" s="141" t="n">
        <v>175.45</v>
      </c>
      <c r="G15" s="128" t="n">
        <f aca="false">AVERAGE(Eqto!D15:F15)</f>
        <v>212.17</v>
      </c>
      <c r="H15" s="129" t="n">
        <f aca="false">Eqto!G15*Eqto!B15</f>
        <v>636.51</v>
      </c>
      <c r="I15" s="130" t="n">
        <f aca="false">0.0025*Eqto!H15</f>
        <v>1.591275</v>
      </c>
      <c r="J15" s="131"/>
      <c r="K15" s="132" t="n">
        <v>24</v>
      </c>
      <c r="L15" s="133" t="n">
        <f aca="false">IF(Eqto!K15&lt;&gt;"",(Eqto!H15)/Eqto!K15,"")</f>
        <v>26.52125</v>
      </c>
      <c r="M15" s="134" t="n">
        <f aca="false">Eqto!I15+Eqto!J15+Eqto!L15</f>
        <v>28.112525</v>
      </c>
    </row>
    <row r="16" customFormat="false" ht="12.8" hidden="false" customHeight="false" outlineLevel="0" collapsed="false">
      <c r="A16" s="125" t="s">
        <v>138</v>
      </c>
      <c r="B16" s="126" t="n">
        <v>10</v>
      </c>
      <c r="C16" s="125"/>
      <c r="D16" s="140" t="n">
        <v>56</v>
      </c>
      <c r="E16" s="141" t="n">
        <v>62.66</v>
      </c>
      <c r="F16" s="141" t="n">
        <v>55</v>
      </c>
      <c r="G16" s="128" t="n">
        <f aca="false">AVERAGE(Eqto!D16:F16)</f>
        <v>57.8866666666667</v>
      </c>
      <c r="H16" s="129" t="n">
        <f aca="false">Eqto!G16*Eqto!B16</f>
        <v>578.866666666667</v>
      </c>
      <c r="I16" s="130" t="n">
        <f aca="false">0.0025*Eqto!H16</f>
        <v>1.44716666666667</v>
      </c>
      <c r="J16" s="131"/>
      <c r="K16" s="132" t="n">
        <v>60</v>
      </c>
      <c r="L16" s="133" t="n">
        <f aca="false">IF(Eqto!K16&lt;&gt;"",(Eqto!H16)/Eqto!K16,"")</f>
        <v>9.64777777777778</v>
      </c>
      <c r="M16" s="134" t="n">
        <f aca="false">Eqto!I16+Eqto!J16+Eqto!L16</f>
        <v>11.0949444444444</v>
      </c>
    </row>
    <row r="17" customFormat="false" ht="12.8" hidden="false" customHeight="false" outlineLevel="0" collapsed="false">
      <c r="A17" s="125" t="s">
        <v>139</v>
      </c>
      <c r="B17" s="126" t="n">
        <v>6</v>
      </c>
      <c r="C17" s="125"/>
      <c r="D17" s="140" t="n">
        <v>56</v>
      </c>
      <c r="E17" s="141" t="n">
        <v>0</v>
      </c>
      <c r="F17" s="141" t="n">
        <v>0</v>
      </c>
      <c r="G17" s="128" t="n">
        <f aca="false">AVERAGE(Eqto!D17:D17)</f>
        <v>56</v>
      </c>
      <c r="H17" s="129" t="n">
        <f aca="false">Eqto!G17*Eqto!B17</f>
        <v>336</v>
      </c>
      <c r="I17" s="130" t="n">
        <f aca="false">0.0025*Eqto!H17</f>
        <v>0.84</v>
      </c>
      <c r="J17" s="131"/>
      <c r="K17" s="132" t="n">
        <v>60</v>
      </c>
      <c r="L17" s="133" t="n">
        <f aca="false">IF(Eqto!K17&lt;&gt;"",(Eqto!H17)/Eqto!K17,"")</f>
        <v>5.6</v>
      </c>
      <c r="M17" s="134" t="n">
        <f aca="false">Eqto!I17+Eqto!J17+Eqto!L17</f>
        <v>6.44</v>
      </c>
    </row>
    <row r="18" customFormat="false" ht="12.75" hidden="false" customHeight="true" outlineLevel="0" collapsed="false">
      <c r="A18" s="145" t="s">
        <v>140</v>
      </c>
      <c r="B18" s="145"/>
      <c r="C18" s="145"/>
      <c r="D18" s="145"/>
      <c r="E18" s="145"/>
      <c r="F18" s="145"/>
      <c r="G18" s="145"/>
      <c r="H18" s="145"/>
      <c r="I18" s="146"/>
      <c r="J18" s="146"/>
      <c r="K18" s="146"/>
      <c r="L18" s="147"/>
      <c r="M18" s="148" t="n">
        <f aca="false">SUM(Eqto!M4:M17)</f>
        <v>275.030691666667</v>
      </c>
    </row>
    <row r="19" customFormat="false" ht="12.75" hidden="false" customHeight="true" outlineLevel="0" collapsed="false">
      <c r="A19" s="145" t="s">
        <v>141</v>
      </c>
      <c r="B19" s="145"/>
      <c r="C19" s="145"/>
      <c r="D19" s="145"/>
      <c r="E19" s="145"/>
      <c r="F19" s="145"/>
      <c r="G19" s="145"/>
      <c r="H19" s="145"/>
      <c r="I19" s="149"/>
      <c r="J19" s="149"/>
      <c r="K19" s="149"/>
      <c r="L19" s="147"/>
      <c r="M19" s="148" t="n">
        <f aca="false">Eqto!M18*12</f>
        <v>3300.3683</v>
      </c>
    </row>
    <row r="20" customFormat="false" ht="12.75" hidden="false" customHeight="true" outlineLevel="0" collapsed="false">
      <c r="A20" s="150" t="s">
        <v>142</v>
      </c>
      <c r="B20" s="150"/>
      <c r="C20" s="150"/>
      <c r="D20" s="150"/>
      <c r="E20" s="150"/>
      <c r="F20" s="150"/>
      <c r="G20" s="150"/>
      <c r="H20" s="150"/>
      <c r="I20" s="146"/>
      <c r="J20" s="146"/>
      <c r="K20" s="146"/>
      <c r="L20" s="147"/>
      <c r="M20" s="148" t="n">
        <f aca="false">Eqto!M18/11</f>
        <v>25.0027901515152</v>
      </c>
    </row>
    <row r="25" customFormat="false" ht="12.8" hidden="false" customHeight="false" outlineLevel="0" collapsed="false">
      <c r="H25" s="0" t="s">
        <v>143</v>
      </c>
    </row>
  </sheetData>
  <mergeCells count="3">
    <mergeCell ref="A18:H18"/>
    <mergeCell ref="A19:H19"/>
    <mergeCell ref="A20:H20"/>
  </mergeCells>
  <printOptions headings="false" gridLines="false" gridLinesSet="true" horizontalCentered="true" verticalCentered="true"/>
  <pageMargins left="0.511805555555555" right="0.511805555555555" top="1.3777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&amp;CPágina &amp;P&amp;R&amp;F</oddHeader>
    <oddFooter>&amp;CPágina &amp;P&amp;RAnálise Repactuação 2017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3"/>
  <sheetViews>
    <sheetView showFormulas="false" showGridLines="true" showRowColHeaders="true" showZeros="true" rightToLeft="false" tabSelected="false" showOutlineSymbols="true" defaultGridColor="true" view="normal" topLeftCell="A49" colorId="64" zoomScale="120" zoomScaleNormal="120" zoomScalePageLayoutView="100" workbookViewId="0">
      <selection pane="topLeft" activeCell="I73" activeCellId="0" sqref="I73"/>
    </sheetView>
  </sheetViews>
  <sheetFormatPr defaultRowHeight="12.8" zeroHeight="false" outlineLevelRow="0" outlineLevelCol="0"/>
  <cols>
    <col collapsed="false" customWidth="true" hidden="false" outlineLevel="0" max="1" min="1" style="0" width="50.27"/>
    <col collapsed="false" customWidth="true" hidden="false" outlineLevel="0" max="3" min="2" style="0" width="12.04"/>
    <col collapsed="false" customWidth="true" hidden="false" outlineLevel="0" max="4" min="4" style="0" width="5.89"/>
    <col collapsed="false" customWidth="true" hidden="false" outlineLevel="0" max="6" min="5" style="0" width="9.85"/>
    <col collapsed="false" customWidth="true" hidden="false" outlineLevel="0" max="7" min="7" style="0" width="10.31"/>
    <col collapsed="false" customWidth="true" hidden="false" outlineLevel="0" max="8" min="8" style="0" width="8.91"/>
    <col collapsed="false" customWidth="true" hidden="false" outlineLevel="0" max="9" min="9" style="0" width="13.89"/>
    <col collapsed="false" customWidth="true" hidden="false" outlineLevel="0" max="1025" min="10" style="0" width="9.27"/>
  </cols>
  <sheetData>
    <row r="1" customFormat="false" ht="12.8" hidden="false" customHeight="false" outlineLevel="0" collapsed="false">
      <c r="A1" s="119" t="s">
        <v>144</v>
      </c>
    </row>
    <row r="2" customFormat="false" ht="22.45" hidden="false" customHeight="false" outlineLevel="0" collapsed="false">
      <c r="E2" s="120" t="s">
        <v>112</v>
      </c>
      <c r="F2" s="120" t="s">
        <v>113</v>
      </c>
    </row>
    <row r="3" customFormat="false" ht="31.85" hidden="false" customHeight="true" outlineLevel="0" collapsed="false">
      <c r="A3" s="150" t="s">
        <v>145</v>
      </c>
      <c r="B3" s="151" t="s">
        <v>146</v>
      </c>
      <c r="C3" s="152" t="s">
        <v>147</v>
      </c>
      <c r="D3" s="152" t="s">
        <v>117</v>
      </c>
      <c r="E3" s="122" t="s">
        <v>118</v>
      </c>
      <c r="F3" s="122" t="s">
        <v>118</v>
      </c>
      <c r="G3" s="122" t="s">
        <v>148</v>
      </c>
      <c r="H3" s="152" t="s">
        <v>149</v>
      </c>
      <c r="I3" s="153"/>
      <c r="J3" s="153"/>
    </row>
    <row r="4" customFormat="false" ht="39.95" hidden="false" customHeight="true" outlineLevel="0" collapsed="false">
      <c r="A4" s="154" t="s">
        <v>150</v>
      </c>
      <c r="B4" s="155" t="s">
        <v>151</v>
      </c>
      <c r="C4" s="155" t="n">
        <v>5</v>
      </c>
      <c r="D4" s="155"/>
      <c r="E4" s="127" t="n">
        <v>6.56</v>
      </c>
      <c r="F4" s="127" t="n">
        <v>9.27</v>
      </c>
      <c r="G4" s="128" t="n">
        <f aca="false">SUM(Mat!E4+Mat!F4)/2</f>
        <v>7.915</v>
      </c>
      <c r="H4" s="156" t="n">
        <f aca="false">SUM(Mat!C4*Mat!G4)</f>
        <v>39.575</v>
      </c>
      <c r="I4" s="153"/>
      <c r="J4" s="153"/>
    </row>
    <row r="5" customFormat="false" ht="15" hidden="false" customHeight="true" outlineLevel="0" collapsed="false">
      <c r="A5" s="154" t="s">
        <v>152</v>
      </c>
      <c r="B5" s="155" t="s">
        <v>153</v>
      </c>
      <c r="C5" s="155" t="n">
        <v>10</v>
      </c>
      <c r="D5" s="155"/>
      <c r="E5" s="127" t="n">
        <v>4.9</v>
      </c>
      <c r="F5" s="127" t="n">
        <v>5.55</v>
      </c>
      <c r="G5" s="128" t="n">
        <f aca="false">SUM(Mat!E5+Mat!F5)/2</f>
        <v>5.225</v>
      </c>
      <c r="H5" s="156" t="n">
        <f aca="false">SUM(Mat!C5*Mat!G5)</f>
        <v>52.25</v>
      </c>
      <c r="I5" s="153"/>
      <c r="J5" s="153"/>
    </row>
    <row r="6" customFormat="false" ht="24" hidden="false" customHeight="true" outlineLevel="0" collapsed="false">
      <c r="A6" s="157" t="s">
        <v>154</v>
      </c>
      <c r="B6" s="155" t="s">
        <v>151</v>
      </c>
      <c r="C6" s="158" t="n">
        <v>7</v>
      </c>
      <c r="D6" s="157"/>
      <c r="E6" s="140" t="n">
        <v>10.8</v>
      </c>
      <c r="F6" s="141" t="n">
        <v>9</v>
      </c>
      <c r="G6" s="128" t="n">
        <f aca="false">SUM(Mat!E6+Mat!F6)/2</f>
        <v>9.9</v>
      </c>
      <c r="H6" s="156" t="n">
        <f aca="false">SUM(Mat!C6*Mat!G6)</f>
        <v>69.3</v>
      </c>
      <c r="I6" s="153"/>
      <c r="J6" s="153"/>
    </row>
    <row r="7" customFormat="false" ht="40.6" hidden="false" customHeight="true" outlineLevel="0" collapsed="false">
      <c r="A7" s="154" t="s">
        <v>155</v>
      </c>
      <c r="B7" s="155" t="s">
        <v>156</v>
      </c>
      <c r="C7" s="155" t="n">
        <v>30</v>
      </c>
      <c r="D7" s="155"/>
      <c r="E7" s="140" t="n">
        <v>0.56</v>
      </c>
      <c r="F7" s="141" t="n">
        <v>0.59</v>
      </c>
      <c r="G7" s="128" t="n">
        <f aca="false">SUM(Mat!E7+Mat!F7)/2</f>
        <v>0.575</v>
      </c>
      <c r="H7" s="156" t="n">
        <f aca="false">SUM(Mat!C7*Mat!G7)</f>
        <v>17.25</v>
      </c>
      <c r="I7" s="153"/>
      <c r="J7" s="153"/>
    </row>
    <row r="8" customFormat="false" ht="13.8" hidden="false" customHeight="false" outlineLevel="0" collapsed="false">
      <c r="A8" s="154" t="s">
        <v>157</v>
      </c>
      <c r="B8" s="155" t="s">
        <v>156</v>
      </c>
      <c r="C8" s="155" t="n">
        <v>30</v>
      </c>
      <c r="D8" s="155"/>
      <c r="E8" s="140" t="n">
        <v>1.34</v>
      </c>
      <c r="F8" s="141" t="n">
        <v>0.64</v>
      </c>
      <c r="G8" s="128" t="n">
        <f aca="false">SUM(Mat!E8+Mat!F8)/2</f>
        <v>0.99</v>
      </c>
      <c r="H8" s="156" t="n">
        <f aca="false">SUM(Mat!C8*Mat!G8)</f>
        <v>29.7</v>
      </c>
      <c r="I8" s="153"/>
      <c r="J8" s="153"/>
    </row>
    <row r="9" customFormat="false" ht="13.8" hidden="false" customHeight="false" outlineLevel="0" collapsed="false">
      <c r="A9" s="154" t="s">
        <v>158</v>
      </c>
      <c r="B9" s="155" t="s">
        <v>156</v>
      </c>
      <c r="C9" s="155" t="n">
        <v>3</v>
      </c>
      <c r="D9" s="155"/>
      <c r="E9" s="140" t="n">
        <v>3.34</v>
      </c>
      <c r="F9" s="141" t="n">
        <v>3.95</v>
      </c>
      <c r="G9" s="128" t="n">
        <f aca="false">SUM(Mat!E9+Mat!F9)/2</f>
        <v>3.645</v>
      </c>
      <c r="H9" s="156" t="n">
        <f aca="false">SUM(Mat!C9*Mat!G9)</f>
        <v>10.935</v>
      </c>
      <c r="I9" s="153"/>
      <c r="J9" s="153"/>
    </row>
    <row r="10" customFormat="false" ht="13.8" hidden="false" customHeight="false" outlineLevel="0" collapsed="false">
      <c r="A10" s="154" t="s">
        <v>159</v>
      </c>
      <c r="B10" s="155" t="s">
        <v>156</v>
      </c>
      <c r="C10" s="155" t="n">
        <v>1</v>
      </c>
      <c r="D10" s="155"/>
      <c r="E10" s="140" t="n">
        <v>14.9</v>
      </c>
      <c r="F10" s="141" t="n">
        <v>11.52</v>
      </c>
      <c r="G10" s="128" t="n">
        <f aca="false">SUM(Mat!E10+Mat!F10)/2</f>
        <v>13.21</v>
      </c>
      <c r="H10" s="156" t="n">
        <f aca="false">SUM(Mat!C10*Mat!G10)</f>
        <v>13.21</v>
      </c>
      <c r="I10" s="153"/>
      <c r="J10" s="153"/>
    </row>
    <row r="11" customFormat="false" ht="13.8" hidden="false" customHeight="false" outlineLevel="0" collapsed="false">
      <c r="A11" s="154" t="s">
        <v>160</v>
      </c>
      <c r="B11" s="155" t="s">
        <v>156</v>
      </c>
      <c r="C11" s="155" t="n">
        <v>15</v>
      </c>
      <c r="D11" s="155"/>
      <c r="E11" s="140" t="n">
        <v>1.5</v>
      </c>
      <c r="F11" s="141" t="n">
        <v>1.43</v>
      </c>
      <c r="G11" s="128" t="n">
        <f aca="false">SUM(Mat!E11+Mat!F11)/2</f>
        <v>1.465</v>
      </c>
      <c r="H11" s="156" t="n">
        <f aca="false">SUM(Mat!C11*Mat!G11)</f>
        <v>21.975</v>
      </c>
      <c r="I11" s="153"/>
      <c r="J11" s="153"/>
    </row>
    <row r="12" customFormat="false" ht="13.8" hidden="false" customHeight="false" outlineLevel="0" collapsed="false">
      <c r="A12" s="159" t="s">
        <v>161</v>
      </c>
      <c r="B12" s="155" t="s">
        <v>162</v>
      </c>
      <c r="C12" s="155" t="n">
        <v>3</v>
      </c>
      <c r="D12" s="159"/>
      <c r="E12" s="140" t="n">
        <v>3.65</v>
      </c>
      <c r="F12" s="141" t="n">
        <v>4.2</v>
      </c>
      <c r="G12" s="128" t="n">
        <f aca="false">SUM(Mat!E12+Mat!F12)/2</f>
        <v>3.925</v>
      </c>
      <c r="H12" s="156" t="n">
        <f aca="false">SUM(Mat!C12*Mat!G12)</f>
        <v>11.775</v>
      </c>
      <c r="I12" s="153"/>
      <c r="J12" s="153"/>
    </row>
    <row r="13" customFormat="false" ht="18.7" hidden="false" customHeight="true" outlineLevel="0" collapsed="false">
      <c r="A13" s="154" t="s">
        <v>163</v>
      </c>
      <c r="B13" s="155" t="s">
        <v>156</v>
      </c>
      <c r="C13" s="155" t="n">
        <v>12</v>
      </c>
      <c r="D13" s="155"/>
      <c r="E13" s="140" t="n">
        <v>2.08</v>
      </c>
      <c r="F13" s="141" t="n">
        <v>2.59</v>
      </c>
      <c r="G13" s="128" t="n">
        <f aca="false">SUM(Mat!E13+Mat!F13)/2</f>
        <v>2.335</v>
      </c>
      <c r="H13" s="156" t="n">
        <f aca="false">SUM(Mat!C13*Mat!G13)</f>
        <v>28.02</v>
      </c>
      <c r="I13" s="153"/>
      <c r="J13" s="153"/>
    </row>
    <row r="14" customFormat="false" ht="21.7" hidden="false" customHeight="true" outlineLevel="0" collapsed="false">
      <c r="A14" s="159" t="s">
        <v>164</v>
      </c>
      <c r="B14" s="155" t="s">
        <v>165</v>
      </c>
      <c r="C14" s="155" t="n">
        <v>3</v>
      </c>
      <c r="D14" s="155"/>
      <c r="E14" s="140" t="n">
        <v>41.66</v>
      </c>
      <c r="F14" s="141" t="n">
        <v>54</v>
      </c>
      <c r="G14" s="128" t="n">
        <f aca="false">SUM(Mat!E14+Mat!F14)/2</f>
        <v>47.83</v>
      </c>
      <c r="H14" s="156" t="n">
        <f aca="false">SUM(Mat!C14*Mat!G14)</f>
        <v>143.49</v>
      </c>
      <c r="I14" s="153"/>
      <c r="J14" s="153"/>
    </row>
    <row r="15" customFormat="false" ht="28.45" hidden="false" customHeight="true" outlineLevel="0" collapsed="false">
      <c r="A15" s="157" t="s">
        <v>166</v>
      </c>
      <c r="B15" s="155" t="s">
        <v>167</v>
      </c>
      <c r="C15" s="158" t="n">
        <v>10</v>
      </c>
      <c r="D15" s="157"/>
      <c r="E15" s="140" t="n">
        <v>47.8</v>
      </c>
      <c r="F15" s="141" t="n">
        <v>55.24</v>
      </c>
      <c r="G15" s="128" t="n">
        <f aca="false">SUM(Mat!E15+Mat!F15)/2</f>
        <v>51.52</v>
      </c>
      <c r="H15" s="156" t="n">
        <f aca="false">SUM(Mat!C15*Mat!G15)</f>
        <v>515.2</v>
      </c>
      <c r="I15" s="153"/>
      <c r="J15" s="153"/>
    </row>
    <row r="16" customFormat="false" ht="48.1" hidden="false" customHeight="true" outlineLevel="0" collapsed="false">
      <c r="A16" s="154" t="s">
        <v>168</v>
      </c>
      <c r="B16" s="155" t="s">
        <v>169</v>
      </c>
      <c r="C16" s="155" t="n">
        <v>15</v>
      </c>
      <c r="D16" s="155"/>
      <c r="E16" s="140" t="n">
        <v>8.1</v>
      </c>
      <c r="F16" s="141" t="n">
        <v>11.7</v>
      </c>
      <c r="G16" s="128" t="n">
        <f aca="false">SUM(Mat!E16+Mat!F16)/2</f>
        <v>9.9</v>
      </c>
      <c r="H16" s="156" t="n">
        <f aca="false">SUM(Mat!C16*Mat!G16)</f>
        <v>148.5</v>
      </c>
      <c r="I16" s="153"/>
      <c r="J16" s="153"/>
    </row>
    <row r="17" customFormat="false" ht="28.35" hidden="false" customHeight="false" outlineLevel="0" collapsed="false">
      <c r="A17" s="157" t="s">
        <v>170</v>
      </c>
      <c r="B17" s="155" t="s">
        <v>151</v>
      </c>
      <c r="C17" s="158" t="n">
        <v>5</v>
      </c>
      <c r="D17" s="157"/>
      <c r="E17" s="140" t="n">
        <v>21</v>
      </c>
      <c r="F17" s="141" t="n">
        <v>24.1</v>
      </c>
      <c r="G17" s="128" t="n">
        <f aca="false">SUM(Mat!E17+Mat!F17)/2</f>
        <v>22.55</v>
      </c>
      <c r="H17" s="156" t="n">
        <f aca="false">SUM(Mat!C17*Mat!G17)</f>
        <v>112.75</v>
      </c>
      <c r="I17" s="153"/>
      <c r="J17" s="153"/>
    </row>
    <row r="18" customFormat="false" ht="28.35" hidden="false" customHeight="false" outlineLevel="0" collapsed="false">
      <c r="A18" s="154" t="s">
        <v>171</v>
      </c>
      <c r="B18" s="155" t="s">
        <v>172</v>
      </c>
      <c r="C18" s="155" t="n">
        <v>10</v>
      </c>
      <c r="D18" s="155"/>
      <c r="E18" s="140" t="n">
        <v>21.5</v>
      </c>
      <c r="F18" s="141" t="n">
        <v>16.78</v>
      </c>
      <c r="G18" s="128" t="n">
        <f aca="false">SUM(Mat!E18+Mat!F18)/2</f>
        <v>19.14</v>
      </c>
      <c r="H18" s="156" t="n">
        <f aca="false">SUM(Mat!C18*Mat!G18)</f>
        <v>191.4</v>
      </c>
      <c r="I18" s="153"/>
      <c r="J18" s="153"/>
    </row>
    <row r="19" customFormat="false" ht="28.35" hidden="false" customHeight="false" outlineLevel="0" collapsed="false">
      <c r="A19" s="154" t="s">
        <v>173</v>
      </c>
      <c r="B19" s="155" t="s">
        <v>174</v>
      </c>
      <c r="C19" s="155" t="n">
        <v>8</v>
      </c>
      <c r="D19" s="155"/>
      <c r="E19" s="140" t="n">
        <v>10.2</v>
      </c>
      <c r="F19" s="141" t="n">
        <v>13.2</v>
      </c>
      <c r="G19" s="128" t="n">
        <f aca="false">SUM(Mat!E19+Mat!F19)/2</f>
        <v>11.7</v>
      </c>
      <c r="H19" s="156" t="n">
        <f aca="false">SUM(Mat!C19*Mat!G19)</f>
        <v>93.6</v>
      </c>
      <c r="I19" s="153"/>
      <c r="J19" s="153"/>
    </row>
    <row r="20" customFormat="false" ht="12.8" hidden="false" customHeight="false" outlineLevel="0" collapsed="false">
      <c r="A20" s="154" t="s">
        <v>175</v>
      </c>
      <c r="B20" s="155" t="s">
        <v>176</v>
      </c>
      <c r="C20" s="155" t="n">
        <v>3</v>
      </c>
      <c r="D20" s="160"/>
      <c r="E20" s="161" t="n">
        <v>6.95</v>
      </c>
      <c r="F20" s="161" t="n">
        <v>6.95</v>
      </c>
      <c r="G20" s="128" t="n">
        <f aca="false">SUM(Mat!E20+Mat!F20)/2</f>
        <v>6.95</v>
      </c>
      <c r="H20" s="156" t="n">
        <f aca="false">SUM(Mat!C20*Mat!G20)</f>
        <v>20.85</v>
      </c>
    </row>
    <row r="21" customFormat="false" ht="19.4" hidden="false" customHeight="false" outlineLevel="0" collapsed="false">
      <c r="A21" s="154" t="s">
        <v>177</v>
      </c>
      <c r="B21" s="155" t="s">
        <v>176</v>
      </c>
      <c r="C21" s="155" t="n">
        <v>25</v>
      </c>
      <c r="D21" s="160"/>
      <c r="E21" s="162" t="n">
        <v>2.9</v>
      </c>
      <c r="F21" s="162" t="n">
        <v>3.15</v>
      </c>
      <c r="G21" s="128" t="n">
        <f aca="false">SUM(Mat!E21+Mat!F21)/2</f>
        <v>3.025</v>
      </c>
      <c r="H21" s="156" t="n">
        <f aca="false">SUM(Mat!C21*Mat!G21)</f>
        <v>75.625</v>
      </c>
    </row>
    <row r="22" customFormat="false" ht="28.35" hidden="false" customHeight="false" outlineLevel="0" collapsed="false">
      <c r="A22" s="159" t="s">
        <v>178</v>
      </c>
      <c r="B22" s="159" t="s">
        <v>172</v>
      </c>
      <c r="C22" s="163" t="n">
        <v>1</v>
      </c>
      <c r="D22" s="160"/>
      <c r="E22" s="138" t="n">
        <v>14.65</v>
      </c>
      <c r="F22" s="138" t="n">
        <v>10.3</v>
      </c>
      <c r="G22" s="128" t="n">
        <f aca="false">SUM(Mat!E22+Mat!F22)/2</f>
        <v>12.475</v>
      </c>
      <c r="H22" s="156" t="n">
        <f aca="false">SUM(Mat!C22*Mat!G22)</f>
        <v>12.475</v>
      </c>
    </row>
    <row r="23" customFormat="false" ht="12.8" hidden="false" customHeight="false" outlineLevel="0" collapsed="false">
      <c r="A23" s="164" t="s">
        <v>179</v>
      </c>
      <c r="B23" s="165" t="s">
        <v>151</v>
      </c>
      <c r="C23" s="163" t="n">
        <v>10</v>
      </c>
      <c r="D23" s="160"/>
      <c r="E23" s="138" t="n">
        <v>13.94</v>
      </c>
      <c r="F23" s="138" t="n">
        <v>10.57</v>
      </c>
      <c r="G23" s="128" t="n">
        <f aca="false">SUM(Mat!E23+Mat!F23)/2</f>
        <v>12.255</v>
      </c>
      <c r="H23" s="156" t="n">
        <f aca="false">SUM(Mat!C23*Mat!G23)</f>
        <v>122.55</v>
      </c>
    </row>
    <row r="24" customFormat="false" ht="14.95" hidden="false" customHeight="true" outlineLevel="0" collapsed="false">
      <c r="A24" s="164" t="s">
        <v>180</v>
      </c>
      <c r="B24" s="165" t="s">
        <v>181</v>
      </c>
      <c r="C24" s="155" t="n">
        <v>5</v>
      </c>
      <c r="D24" s="166"/>
      <c r="E24" s="138" t="n">
        <v>1.3</v>
      </c>
      <c r="F24" s="138" t="n">
        <v>1.48</v>
      </c>
      <c r="G24" s="128" t="n">
        <f aca="false">SUM(Mat!E24+Mat!F24)/2</f>
        <v>1.39</v>
      </c>
      <c r="H24" s="156" t="n">
        <f aca="false">SUM(Mat!C24*Mat!G24)</f>
        <v>6.95</v>
      </c>
    </row>
    <row r="25" customFormat="false" ht="12.95" hidden="false" customHeight="true" outlineLevel="0" collapsed="false">
      <c r="A25" s="164" t="s">
        <v>182</v>
      </c>
      <c r="B25" s="165" t="s">
        <v>151</v>
      </c>
      <c r="C25" s="155" t="n">
        <v>10</v>
      </c>
      <c r="D25" s="166"/>
      <c r="E25" s="138" t="n">
        <v>32</v>
      </c>
      <c r="F25" s="138" t="n">
        <v>42.57</v>
      </c>
      <c r="G25" s="128" t="n">
        <f aca="false">SUM(Mat!E25+Mat!F25)/2</f>
        <v>37.285</v>
      </c>
      <c r="H25" s="156" t="n">
        <f aca="false">SUM(Mat!C25*Mat!G25)</f>
        <v>372.85</v>
      </c>
    </row>
    <row r="26" customFormat="false" ht="15.7" hidden="false" customHeight="true" outlineLevel="0" collapsed="false">
      <c r="A26" s="164" t="s">
        <v>183</v>
      </c>
      <c r="B26" s="165" t="s">
        <v>181</v>
      </c>
      <c r="C26" s="155" t="n">
        <v>10</v>
      </c>
      <c r="D26" s="166"/>
      <c r="E26" s="138" t="n">
        <v>2.65</v>
      </c>
      <c r="F26" s="138" t="n">
        <v>2.12</v>
      </c>
      <c r="G26" s="128" t="n">
        <f aca="false">SUM(Mat!E26+Mat!F26)/2</f>
        <v>2.385</v>
      </c>
      <c r="H26" s="156" t="n">
        <f aca="false">SUM(Mat!C26*Mat!G26)</f>
        <v>23.85</v>
      </c>
    </row>
    <row r="27" customFormat="false" ht="18.7" hidden="false" customHeight="true" outlineLevel="0" collapsed="false">
      <c r="A27" s="154" t="s">
        <v>184</v>
      </c>
      <c r="B27" s="155" t="s">
        <v>185</v>
      </c>
      <c r="C27" s="155" t="n">
        <v>5</v>
      </c>
      <c r="D27" s="155"/>
      <c r="E27" s="140" t="n">
        <v>16.5</v>
      </c>
      <c r="F27" s="141" t="n">
        <v>33</v>
      </c>
      <c r="G27" s="128" t="n">
        <f aca="false">SUM(Mat!E27+Mat!F27)/2</f>
        <v>24.75</v>
      </c>
      <c r="H27" s="156" t="n">
        <f aca="false">SUM(Mat!C27*Mat!G27)</f>
        <v>123.75</v>
      </c>
      <c r="I27" s="153"/>
      <c r="J27" s="153"/>
    </row>
    <row r="28" customFormat="false" ht="15.65" hidden="false" customHeight="true" outlineLevel="0" collapsed="false">
      <c r="A28" s="164" t="s">
        <v>186</v>
      </c>
      <c r="B28" s="165" t="s">
        <v>187</v>
      </c>
      <c r="C28" s="155" t="n">
        <v>40</v>
      </c>
      <c r="D28" s="166"/>
      <c r="E28" s="138" t="n">
        <v>3.75</v>
      </c>
      <c r="F28" s="138" t="n">
        <v>3.749</v>
      </c>
      <c r="G28" s="128" t="n">
        <f aca="false">SUM(Mat!E28+Mat!F28)/2</f>
        <v>3.7495</v>
      </c>
      <c r="H28" s="156" t="n">
        <f aca="false">SUM(Mat!C28*Mat!G28)</f>
        <v>149.98</v>
      </c>
    </row>
    <row r="29" customFormat="false" ht="15.65" hidden="false" customHeight="true" outlineLevel="0" collapsed="false">
      <c r="A29" s="164" t="s">
        <v>188</v>
      </c>
      <c r="B29" s="165" t="s">
        <v>187</v>
      </c>
      <c r="C29" s="155" t="n">
        <v>1</v>
      </c>
      <c r="D29" s="166"/>
      <c r="E29" s="138" t="n">
        <v>20</v>
      </c>
      <c r="F29" s="138" t="n">
        <v>13.5</v>
      </c>
      <c r="G29" s="128" t="n">
        <f aca="false">SUM(Mat!E29+Mat!F29)/2</f>
        <v>16.75</v>
      </c>
      <c r="H29" s="156" t="n">
        <f aca="false">SUM(Mat!C29*Mat!G29)</f>
        <v>16.75</v>
      </c>
    </row>
    <row r="30" customFormat="false" ht="15" hidden="false" customHeight="true" outlineLevel="0" collapsed="false">
      <c r="A30" s="150" t="s">
        <v>140</v>
      </c>
      <c r="B30" s="150"/>
      <c r="C30" s="150"/>
      <c r="D30" s="150"/>
      <c r="E30" s="150"/>
      <c r="F30" s="150"/>
      <c r="G30" s="150"/>
      <c r="H30" s="167" t="n">
        <f aca="false">SUM(Mat!H4:H29)</f>
        <v>2424.56</v>
      </c>
      <c r="I30" s="168"/>
      <c r="J30" s="169"/>
    </row>
    <row r="31" customFormat="false" ht="15" hidden="false" customHeight="true" outlineLevel="0" collapsed="false">
      <c r="A31" s="150" t="s">
        <v>141</v>
      </c>
      <c r="B31" s="150"/>
      <c r="C31" s="150"/>
      <c r="D31" s="150"/>
      <c r="E31" s="150"/>
      <c r="F31" s="150"/>
      <c r="G31" s="150"/>
      <c r="H31" s="167" t="n">
        <f aca="false">Mat!H30*12</f>
        <v>29094.72</v>
      </c>
      <c r="I31" s="168"/>
      <c r="J31" s="169"/>
    </row>
    <row r="32" customFormat="false" ht="16.5" hidden="false" customHeight="true" outlineLevel="0" collapsed="false">
      <c r="A32" s="150" t="s">
        <v>142</v>
      </c>
      <c r="B32" s="150"/>
      <c r="C32" s="150"/>
      <c r="D32" s="150"/>
      <c r="E32" s="150"/>
      <c r="F32" s="150"/>
      <c r="G32" s="150"/>
      <c r="H32" s="170" t="n">
        <f aca="false">Mat!H30/11</f>
        <v>220.414545454545</v>
      </c>
      <c r="I32" s="171"/>
      <c r="J32" s="169"/>
    </row>
    <row r="34" s="172" customFormat="true" ht="12.8" hidden="false" customHeight="false" outlineLevel="0" collapsed="false"/>
    <row r="35" s="172" customFormat="true" ht="12.8" hidden="false" customHeight="false" outlineLevel="0" collapsed="false"/>
    <row r="36" s="172" customFormat="true" ht="12.8" hidden="false" customHeight="false" outlineLevel="0" collapsed="false"/>
    <row r="37" s="172" customFormat="true" ht="12.8" hidden="false" customHeight="false" outlineLevel="0" collapsed="false"/>
    <row r="38" s="172" customFormat="true" ht="12.8" hidden="false" customHeight="false" outlineLevel="0" collapsed="false"/>
    <row r="39" s="172" customFormat="true" ht="12.8" hidden="false" customHeight="false" outlineLevel="0" collapsed="false"/>
    <row r="40" s="172" customFormat="true" ht="12.8" hidden="false" customHeight="false" outlineLevel="0" collapsed="false"/>
    <row r="41" s="172" customFormat="true" ht="12.8" hidden="false" customHeight="false" outlineLevel="0" collapsed="false"/>
    <row r="42" s="172" customFormat="true" ht="12.8" hidden="false" customHeight="false" outlineLevel="0" collapsed="false"/>
    <row r="43" s="172" customFormat="true" ht="12.8" hidden="false" customHeight="false" outlineLevel="0" collapsed="false"/>
    <row r="44" s="172" customFormat="true" ht="12.8" hidden="false" customHeight="false" outlineLevel="0" collapsed="false"/>
    <row r="45" s="172" customFormat="true" ht="12.8" hidden="false" customHeight="false" outlineLevel="0" collapsed="false"/>
    <row r="46" s="172" customFormat="true" ht="12.8" hidden="false" customHeight="false" outlineLevel="0" collapsed="false"/>
    <row r="47" s="172" customFormat="true" ht="12.8" hidden="false" customHeight="false" outlineLevel="0" collapsed="false"/>
    <row r="48" customFormat="false" ht="12.8" hidden="false" customHeight="false" outlineLevel="0" collapsed="false">
      <c r="A48" s="119" t="s">
        <v>189</v>
      </c>
    </row>
    <row r="49" customFormat="false" ht="22.45" hidden="false" customHeight="false" outlineLevel="0" collapsed="false">
      <c r="E49" s="120" t="s">
        <v>112</v>
      </c>
      <c r="F49" s="120" t="s">
        <v>113</v>
      </c>
      <c r="G49" s="120" t="s">
        <v>114</v>
      </c>
    </row>
    <row r="50" customFormat="false" ht="31.2" hidden="false" customHeight="false" outlineLevel="0" collapsed="false">
      <c r="A50" s="150" t="s">
        <v>145</v>
      </c>
      <c r="B50" s="151" t="s">
        <v>146</v>
      </c>
      <c r="C50" s="152" t="s">
        <v>190</v>
      </c>
      <c r="D50" s="152" t="s">
        <v>117</v>
      </c>
      <c r="E50" s="122" t="s">
        <v>118</v>
      </c>
      <c r="F50" s="122" t="s">
        <v>118</v>
      </c>
      <c r="G50" s="122" t="s">
        <v>118</v>
      </c>
      <c r="H50" s="122" t="s">
        <v>148</v>
      </c>
      <c r="I50" s="152" t="s">
        <v>149</v>
      </c>
    </row>
    <row r="51" customFormat="false" ht="30.6" hidden="false" customHeight="true" outlineLevel="0" collapsed="false">
      <c r="A51" s="154" t="s">
        <v>191</v>
      </c>
      <c r="B51" s="155" t="s">
        <v>156</v>
      </c>
      <c r="C51" s="155" t="n">
        <v>36</v>
      </c>
      <c r="D51" s="155"/>
      <c r="E51" s="173" t="n">
        <v>8.16</v>
      </c>
      <c r="F51" s="173" t="n">
        <v>6.49</v>
      </c>
      <c r="G51" s="173"/>
      <c r="H51" s="173" t="n">
        <f aca="false">SUM(Mat!E51+Mat!F51)/2</f>
        <v>7.325</v>
      </c>
      <c r="I51" s="174" t="n">
        <f aca="false">Mat!H51*Mat!C51</f>
        <v>263.7</v>
      </c>
    </row>
    <row r="52" customFormat="false" ht="19.4" hidden="false" customHeight="false" outlineLevel="0" collapsed="false">
      <c r="A52" s="154" t="s">
        <v>192</v>
      </c>
      <c r="B52" s="155" t="s">
        <v>156</v>
      </c>
      <c r="C52" s="155" t="n">
        <v>15</v>
      </c>
      <c r="D52" s="155"/>
      <c r="E52" s="173" t="n">
        <v>13.99</v>
      </c>
      <c r="F52" s="173" t="n">
        <v>9.85</v>
      </c>
      <c r="G52" s="173"/>
      <c r="H52" s="173" t="n">
        <f aca="false">SUM(Mat!E52+Mat!F52)/2</f>
        <v>11.92</v>
      </c>
      <c r="I52" s="174" t="n">
        <f aca="false">Mat!H52*Mat!C52</f>
        <v>178.8</v>
      </c>
    </row>
    <row r="53" customFormat="false" ht="31.45" hidden="false" customHeight="true" outlineLevel="0" collapsed="false">
      <c r="A53" s="154" t="s">
        <v>193</v>
      </c>
      <c r="B53" s="155" t="s">
        <v>156</v>
      </c>
      <c r="C53" s="155" t="n">
        <v>22</v>
      </c>
      <c r="D53" s="155"/>
      <c r="E53" s="173" t="n">
        <v>11.19</v>
      </c>
      <c r="F53" s="173" t="n">
        <v>9.75</v>
      </c>
      <c r="G53" s="173"/>
      <c r="H53" s="173" t="n">
        <f aca="false">SUM(Mat!E53+Mat!F53)/2</f>
        <v>10.47</v>
      </c>
      <c r="I53" s="174" t="n">
        <f aca="false">Mat!H53*Mat!C53</f>
        <v>230.34</v>
      </c>
    </row>
    <row r="54" customFormat="false" ht="27.7" hidden="false" customHeight="true" outlineLevel="0" collapsed="false">
      <c r="A54" s="154" t="s">
        <v>194</v>
      </c>
      <c r="B54" s="155" t="s">
        <v>156</v>
      </c>
      <c r="C54" s="155" t="n">
        <v>45</v>
      </c>
      <c r="D54" s="155"/>
      <c r="E54" s="173" t="n">
        <v>12.95</v>
      </c>
      <c r="F54" s="173" t="n">
        <v>10</v>
      </c>
      <c r="G54" s="173"/>
      <c r="H54" s="173" t="n">
        <f aca="false">SUM(Mat!E54+Mat!F54)/2</f>
        <v>11.475</v>
      </c>
      <c r="I54" s="174" t="n">
        <f aca="false">Mat!H54*Mat!C54</f>
        <v>516.375</v>
      </c>
    </row>
    <row r="55" customFormat="false" ht="19.4" hidden="false" customHeight="false" outlineLevel="0" collapsed="false">
      <c r="A55" s="154" t="s">
        <v>195</v>
      </c>
      <c r="B55" s="155" t="s">
        <v>156</v>
      </c>
      <c r="C55" s="155" t="n">
        <v>22</v>
      </c>
      <c r="D55" s="155"/>
      <c r="E55" s="173" t="n">
        <v>8.59</v>
      </c>
      <c r="F55" s="173" t="n">
        <v>3.99</v>
      </c>
      <c r="G55" s="173"/>
      <c r="H55" s="173" t="n">
        <f aca="false">SUM(Mat!E55+Mat!F55)/2</f>
        <v>6.29</v>
      </c>
      <c r="I55" s="174" t="n">
        <f aca="false">Mat!H55*Mat!C55</f>
        <v>138.38</v>
      </c>
    </row>
    <row r="56" customFormat="false" ht="29.35" hidden="false" customHeight="true" outlineLevel="0" collapsed="false">
      <c r="A56" s="154" t="s">
        <v>196</v>
      </c>
      <c r="B56" s="155" t="s">
        <v>156</v>
      </c>
      <c r="C56" s="155" t="n">
        <v>40</v>
      </c>
      <c r="D56" s="155"/>
      <c r="E56" s="173" t="n">
        <v>6.2</v>
      </c>
      <c r="F56" s="173" t="n">
        <v>6.2</v>
      </c>
      <c r="G56" s="173"/>
      <c r="H56" s="173" t="n">
        <f aca="false">SUM(Mat!E56+Mat!F56)/2</f>
        <v>6.2</v>
      </c>
      <c r="I56" s="174" t="n">
        <f aca="false">Mat!H56*Mat!C56</f>
        <v>248</v>
      </c>
    </row>
    <row r="57" customFormat="false" ht="12.8" hidden="false" customHeight="false" outlineLevel="0" collapsed="false">
      <c r="A57" s="154" t="s">
        <v>197</v>
      </c>
      <c r="B57" s="155" t="s">
        <v>156</v>
      </c>
      <c r="C57" s="155" t="n">
        <v>6</v>
      </c>
      <c r="D57" s="155"/>
      <c r="E57" s="173" t="n">
        <v>10.59</v>
      </c>
      <c r="F57" s="173" t="n">
        <v>8.8</v>
      </c>
      <c r="G57" s="173"/>
      <c r="H57" s="173" t="n">
        <f aca="false">SUM(Mat!E57+Mat!F57)/2</f>
        <v>9.695</v>
      </c>
      <c r="I57" s="174" t="n">
        <f aca="false">Mat!H57*Mat!C57</f>
        <v>58.17</v>
      </c>
    </row>
    <row r="58" customFormat="false" ht="19.4" hidden="false" customHeight="false" outlineLevel="0" collapsed="false">
      <c r="A58" s="154" t="s">
        <v>198</v>
      </c>
      <c r="B58" s="155" t="s">
        <v>156</v>
      </c>
      <c r="C58" s="126" t="n">
        <v>30</v>
      </c>
      <c r="D58" s="147"/>
      <c r="E58" s="173" t="n">
        <v>17.19</v>
      </c>
      <c r="F58" s="173" t="n">
        <v>19.8</v>
      </c>
      <c r="G58" s="173"/>
      <c r="H58" s="173" t="n">
        <f aca="false">SUM(Mat!E58+Mat!F58)/2</f>
        <v>18.495</v>
      </c>
      <c r="I58" s="174" t="n">
        <f aca="false">Mat!H58*Mat!C58</f>
        <v>554.85</v>
      </c>
    </row>
    <row r="59" customFormat="false" ht="19.4" hidden="false" customHeight="false" outlineLevel="0" collapsed="false">
      <c r="A59" s="154" t="s">
        <v>199</v>
      </c>
      <c r="B59" s="155" t="s">
        <v>156</v>
      </c>
      <c r="C59" s="126" t="n">
        <v>20</v>
      </c>
      <c r="D59" s="147"/>
      <c r="E59" s="173" t="n">
        <v>24</v>
      </c>
      <c r="F59" s="173" t="n">
        <v>22.45</v>
      </c>
      <c r="G59" s="173"/>
      <c r="H59" s="173" t="n">
        <f aca="false">SUM(Mat!E59+Mat!F59)/2</f>
        <v>23.225</v>
      </c>
      <c r="I59" s="174" t="n">
        <f aca="false">Mat!H59*Mat!C59</f>
        <v>464.5</v>
      </c>
    </row>
    <row r="60" customFormat="false" ht="12.8" hidden="false" customHeight="false" outlineLevel="0" collapsed="false">
      <c r="A60" s="154" t="s">
        <v>200</v>
      </c>
      <c r="B60" s="155" t="s">
        <v>156</v>
      </c>
      <c r="C60" s="126" t="n">
        <v>20</v>
      </c>
      <c r="D60" s="147"/>
      <c r="E60" s="173" t="n">
        <v>24.97</v>
      </c>
      <c r="F60" s="173" t="n">
        <v>11.66</v>
      </c>
      <c r="G60" s="173"/>
      <c r="H60" s="173" t="n">
        <f aca="false">SUM(Mat!E60+Mat!F60)/2</f>
        <v>18.315</v>
      </c>
      <c r="I60" s="174" t="n">
        <f aca="false">Mat!H60*Mat!C60</f>
        <v>366.3</v>
      </c>
    </row>
    <row r="61" customFormat="false" ht="12.8" hidden="false" customHeight="false" outlineLevel="0" collapsed="false">
      <c r="A61" s="164" t="s">
        <v>201</v>
      </c>
      <c r="B61" s="165" t="s">
        <v>156</v>
      </c>
      <c r="C61" s="155" t="n">
        <v>6</v>
      </c>
      <c r="D61" s="155"/>
      <c r="E61" s="173" t="n">
        <v>3.32</v>
      </c>
      <c r="F61" s="173" t="n">
        <v>8.6</v>
      </c>
      <c r="G61" s="173"/>
      <c r="H61" s="173" t="n">
        <f aca="false">SUM(Mat!E61+Mat!F61)/2</f>
        <v>5.96</v>
      </c>
      <c r="I61" s="174" t="n">
        <f aca="false">Mat!H61*Mat!C61</f>
        <v>35.76</v>
      </c>
    </row>
    <row r="62" customFormat="false" ht="12.8" hidden="false" customHeight="false" outlineLevel="0" collapsed="false">
      <c r="A62" s="164" t="s">
        <v>202</v>
      </c>
      <c r="B62" s="165" t="s">
        <v>156</v>
      </c>
      <c r="C62" s="155" t="n">
        <v>6</v>
      </c>
      <c r="D62" s="155"/>
      <c r="E62" s="173" t="n">
        <v>5.29</v>
      </c>
      <c r="F62" s="173" t="n">
        <v>4</v>
      </c>
      <c r="G62" s="173"/>
      <c r="H62" s="173" t="n">
        <f aca="false">SUM(Mat!E62+Mat!F62)/2</f>
        <v>4.645</v>
      </c>
      <c r="I62" s="174" t="n">
        <f aca="false">Mat!H62*Mat!C62</f>
        <v>27.87</v>
      </c>
    </row>
    <row r="63" customFormat="false" ht="12.8" hidden="false" customHeight="false" outlineLevel="0" collapsed="false">
      <c r="A63" s="164" t="s">
        <v>203</v>
      </c>
      <c r="B63" s="165" t="s">
        <v>156</v>
      </c>
      <c r="C63" s="155" t="n">
        <v>12</v>
      </c>
      <c r="D63" s="155"/>
      <c r="E63" s="173" t="n">
        <v>15.9</v>
      </c>
      <c r="F63" s="173" t="n">
        <v>10.85</v>
      </c>
      <c r="G63" s="173"/>
      <c r="H63" s="173" t="n">
        <f aca="false">SUM(Mat!E63+Mat!F63)/2</f>
        <v>13.375</v>
      </c>
      <c r="I63" s="174" t="n">
        <f aca="false">Mat!H63*Mat!C63</f>
        <v>160.5</v>
      </c>
    </row>
    <row r="64" customFormat="false" ht="12.8" hidden="false" customHeight="false" outlineLevel="0" collapsed="false">
      <c r="A64" s="159" t="s">
        <v>204</v>
      </c>
      <c r="B64" s="155" t="s">
        <v>176</v>
      </c>
      <c r="C64" s="155" t="n">
        <v>10</v>
      </c>
      <c r="D64" s="160"/>
      <c r="E64" s="175" t="n">
        <v>28</v>
      </c>
      <c r="F64" s="175" t="n">
        <v>28</v>
      </c>
      <c r="G64" s="175"/>
      <c r="H64" s="176" t="n">
        <f aca="false">SUM(Mat!E64+Mat!F64)/2</f>
        <v>28</v>
      </c>
      <c r="I64" s="174" t="n">
        <f aca="false">Mat!H64*Mat!C64</f>
        <v>280</v>
      </c>
    </row>
    <row r="65" customFormat="false" ht="19.4" hidden="false" customHeight="false" outlineLevel="0" collapsed="false">
      <c r="A65" s="159" t="s">
        <v>205</v>
      </c>
      <c r="B65" s="155" t="s">
        <v>176</v>
      </c>
      <c r="C65" s="155" t="n">
        <v>6</v>
      </c>
      <c r="D65" s="160"/>
      <c r="E65" s="175" t="n">
        <v>52</v>
      </c>
      <c r="F65" s="175" t="n">
        <v>52</v>
      </c>
      <c r="G65" s="175"/>
      <c r="H65" s="176" t="n">
        <f aca="false">SUM(Mat!E65+Mat!F65)/2</f>
        <v>52</v>
      </c>
      <c r="I65" s="174" t="n">
        <f aca="false">Mat!H65*Mat!C65</f>
        <v>312</v>
      </c>
    </row>
    <row r="66" customFormat="false" ht="12.8" hidden="false" customHeight="false" outlineLevel="0" collapsed="false">
      <c r="A66" s="142" t="s">
        <v>206</v>
      </c>
      <c r="B66" s="126" t="s">
        <v>156</v>
      </c>
      <c r="C66" s="126" t="n">
        <v>1</v>
      </c>
      <c r="D66" s="160"/>
      <c r="E66" s="140" t="n">
        <v>99</v>
      </c>
      <c r="F66" s="141" t="n">
        <v>111.51</v>
      </c>
      <c r="G66" s="141" t="n">
        <v>90.56</v>
      </c>
      <c r="H66" s="176" t="n">
        <f aca="false">SUM(Mat!E66+Mat!F66+Mat!G66)/3</f>
        <v>100.356666666667</v>
      </c>
      <c r="I66" s="174" t="n">
        <f aca="false">Mat!H66*Mat!C66</f>
        <v>100.356666666667</v>
      </c>
    </row>
    <row r="67" customFormat="false" ht="12.8" hidden="false" customHeight="false" outlineLevel="0" collapsed="false">
      <c r="A67" s="142" t="s">
        <v>207</v>
      </c>
      <c r="B67" s="126" t="s">
        <v>156</v>
      </c>
      <c r="C67" s="126" t="n">
        <v>3</v>
      </c>
      <c r="D67" s="160"/>
      <c r="E67" s="140" t="n">
        <v>33</v>
      </c>
      <c r="F67" s="141" t="n">
        <v>29.95</v>
      </c>
      <c r="G67" s="141" t="n">
        <v>35.59</v>
      </c>
      <c r="H67" s="176" t="n">
        <f aca="false">SUM(Mat!E67+Mat!F67+Mat!G67)/3</f>
        <v>32.8466666666667</v>
      </c>
      <c r="I67" s="174" t="n">
        <f aca="false">Mat!H67*Mat!C67</f>
        <v>98.54</v>
      </c>
    </row>
    <row r="68" customFormat="false" ht="12.8" hidden="false" customHeight="false" outlineLevel="0" collapsed="false">
      <c r="A68" s="142" t="s">
        <v>208</v>
      </c>
      <c r="B68" s="126" t="s">
        <v>156</v>
      </c>
      <c r="C68" s="126" t="n">
        <v>3</v>
      </c>
      <c r="D68" s="160"/>
      <c r="E68" s="140" t="n">
        <v>36.5</v>
      </c>
      <c r="F68" s="141" t="n">
        <v>40.72</v>
      </c>
      <c r="G68" s="141" t="n">
        <v>35.35</v>
      </c>
      <c r="H68" s="176" t="n">
        <f aca="false">SUM(Mat!E68+Mat!F68+Mat!G68)/3</f>
        <v>37.5233333333333</v>
      </c>
      <c r="I68" s="174" t="n">
        <f aca="false">Mat!H68*Mat!C68</f>
        <v>112.57</v>
      </c>
    </row>
    <row r="69" customFormat="false" ht="12.8" hidden="false" customHeight="false" outlineLevel="0" collapsed="false">
      <c r="A69" s="142" t="s">
        <v>209</v>
      </c>
      <c r="B69" s="126" t="s">
        <v>156</v>
      </c>
      <c r="C69" s="126" t="n">
        <v>1</v>
      </c>
      <c r="D69" s="160"/>
      <c r="E69" s="140" t="n">
        <v>35</v>
      </c>
      <c r="F69" s="141" t="n">
        <v>23.44</v>
      </c>
      <c r="G69" s="141" t="n">
        <v>30.92</v>
      </c>
      <c r="H69" s="176" t="n">
        <f aca="false">SUM(Mat!E69+Mat!F69+Mat!G69)/3</f>
        <v>29.7866666666667</v>
      </c>
      <c r="I69" s="174" t="n">
        <f aca="false">Mat!H69*Mat!C69</f>
        <v>29.7866666666667</v>
      </c>
    </row>
    <row r="70" customFormat="false" ht="12.8" hidden="false" customHeight="false" outlineLevel="0" collapsed="false">
      <c r="A70" s="135" t="s">
        <v>210</v>
      </c>
      <c r="B70" s="126" t="s">
        <v>156</v>
      </c>
      <c r="C70" s="126" t="n">
        <v>3</v>
      </c>
      <c r="D70" s="160"/>
      <c r="E70" s="140" t="n">
        <v>24</v>
      </c>
      <c r="F70" s="141" t="n">
        <v>31.58</v>
      </c>
      <c r="G70" s="141" t="n">
        <v>20.44</v>
      </c>
      <c r="H70" s="176" t="n">
        <f aca="false">SUM(Mat!E70+Mat!F70+Mat!G70)/3</f>
        <v>25.34</v>
      </c>
      <c r="I70" s="174" t="n">
        <f aca="false">Mat!H70*Mat!C70</f>
        <v>76.02</v>
      </c>
    </row>
    <row r="71" customFormat="false" ht="12.75" hidden="false" customHeight="true" outlineLevel="0" collapsed="false">
      <c r="A71" s="150" t="s">
        <v>141</v>
      </c>
      <c r="B71" s="150"/>
      <c r="C71" s="150"/>
      <c r="D71" s="150"/>
      <c r="E71" s="150"/>
      <c r="F71" s="150"/>
      <c r="G71" s="150"/>
      <c r="H71" s="137"/>
      <c r="I71" s="177" t="n">
        <f aca="false">SUM(Mat!I51:I70)</f>
        <v>4252.81833333334</v>
      </c>
    </row>
    <row r="72" customFormat="false" ht="12.75" hidden="false" customHeight="true" outlineLevel="0" collapsed="false">
      <c r="A72" s="150" t="s">
        <v>211</v>
      </c>
      <c r="B72" s="150"/>
      <c r="C72" s="150"/>
      <c r="D72" s="150"/>
      <c r="E72" s="150"/>
      <c r="F72" s="150"/>
      <c r="G72" s="150"/>
      <c r="H72" s="137"/>
      <c r="I72" s="167" t="n">
        <f aca="false">Mat!I71/12</f>
        <v>354.401527777778</v>
      </c>
    </row>
    <row r="73" customFormat="false" ht="12.75" hidden="false" customHeight="true" outlineLevel="0" collapsed="false">
      <c r="A73" s="150" t="s">
        <v>142</v>
      </c>
      <c r="B73" s="150"/>
      <c r="C73" s="150"/>
      <c r="D73" s="150"/>
      <c r="E73" s="150"/>
      <c r="F73" s="150"/>
      <c r="G73" s="150"/>
      <c r="H73" s="137"/>
      <c r="I73" s="170" t="n">
        <f aca="false">Mat!I72/11</f>
        <v>32.2183207070707</v>
      </c>
    </row>
  </sheetData>
  <mergeCells count="6">
    <mergeCell ref="A30:G30"/>
    <mergeCell ref="A31:G31"/>
    <mergeCell ref="A32:G32"/>
    <mergeCell ref="A71:G71"/>
    <mergeCell ref="A72:G72"/>
    <mergeCell ref="A73:G73"/>
  </mergeCells>
  <printOptions headings="false" gridLines="false" gridLinesSet="true" horizontalCentered="false" verticalCentered="false"/>
  <pageMargins left="0.7875" right="0.422916666666667" top="1.025" bottom="1.025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6553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27" activeCellId="0" sqref="C27"/>
    </sheetView>
  </sheetViews>
  <sheetFormatPr defaultRowHeight="12.75" zeroHeight="false" outlineLevelRow="0" outlineLevelCol="0"/>
  <cols>
    <col collapsed="false" customWidth="true" hidden="false" outlineLevel="0" max="1" min="1" style="0" width="76.4"/>
    <col collapsed="false" customWidth="true" hidden="false" outlineLevel="0" max="2" min="2" style="0" width="12.14"/>
    <col collapsed="false" customWidth="true" hidden="false" outlineLevel="0" max="3" min="3" style="0" width="13.29"/>
    <col collapsed="false" customWidth="true" hidden="false" outlineLevel="0" max="4" min="4" style="0" width="14.43"/>
    <col collapsed="false" customWidth="true" hidden="false" outlineLevel="0" max="5" min="5" style="0" width="15"/>
    <col collapsed="false" customWidth="true" hidden="false" outlineLevel="0" max="6" min="6" style="0" width="16.57"/>
    <col collapsed="false" customWidth="true" hidden="false" outlineLevel="0" max="7" min="7" style="0" width="15.57"/>
    <col collapsed="false" customWidth="true" hidden="false" outlineLevel="0" max="1025" min="8" style="0" width="9.29"/>
  </cols>
  <sheetData>
    <row r="1" customFormat="false" ht="12.75" hidden="false" customHeight="false" outlineLevel="0" collapsed="false">
      <c r="A1" s="119" t="s">
        <v>212</v>
      </c>
    </row>
    <row r="2" customFormat="false" ht="12.8" hidden="false" customHeight="false" outlineLevel="0" collapsed="false">
      <c r="D2" s="178" t="s">
        <v>213</v>
      </c>
      <c r="E2" s="178" t="s">
        <v>214</v>
      </c>
      <c r="F2" s="178" t="s">
        <v>215</v>
      </c>
    </row>
    <row r="3" customFormat="false" ht="19.45" hidden="false" customHeight="false" outlineLevel="0" collapsed="false">
      <c r="A3" s="179" t="s">
        <v>216</v>
      </c>
      <c r="B3" s="179" t="s">
        <v>217</v>
      </c>
      <c r="C3" s="179" t="s">
        <v>218</v>
      </c>
      <c r="D3" s="180" t="s">
        <v>118</v>
      </c>
      <c r="E3" s="180" t="s">
        <v>118</v>
      </c>
      <c r="F3" s="180" t="s">
        <v>118</v>
      </c>
      <c r="G3" s="152" t="s">
        <v>219</v>
      </c>
      <c r="H3" s="181" t="s">
        <v>149</v>
      </c>
    </row>
    <row r="4" s="187" customFormat="true" ht="24.35" hidden="false" customHeight="true" outlineLevel="0" collapsed="false">
      <c r="A4" s="182" t="s">
        <v>220</v>
      </c>
      <c r="B4" s="183" t="n">
        <v>5</v>
      </c>
      <c r="C4" s="182" t="s">
        <v>156</v>
      </c>
      <c r="D4" s="184" t="n">
        <v>31.76</v>
      </c>
      <c r="E4" s="184" t="n">
        <v>32.99</v>
      </c>
      <c r="F4" s="184" t="n">
        <v>32.68</v>
      </c>
      <c r="G4" s="185" t="n">
        <f aca="false">AVERAGE(Unif!D4:F4)</f>
        <v>32.4766666666667</v>
      </c>
      <c r="H4" s="186" t="n">
        <f aca="false">Unif!B4*Unif!G4</f>
        <v>162.383333333333</v>
      </c>
    </row>
    <row r="5" s="187" customFormat="true" ht="24.95" hidden="false" customHeight="true" outlineLevel="0" collapsed="false">
      <c r="A5" s="182" t="s">
        <v>221</v>
      </c>
      <c r="B5" s="183" t="n">
        <v>4</v>
      </c>
      <c r="C5" s="182" t="s">
        <v>156</v>
      </c>
      <c r="D5" s="184" t="n">
        <v>15</v>
      </c>
      <c r="E5" s="184" t="n">
        <v>15.96</v>
      </c>
      <c r="F5" s="184" t="n">
        <v>17</v>
      </c>
      <c r="G5" s="185" t="n">
        <f aca="false">AVERAGE(Unif!D5:F5)</f>
        <v>15.9866666666667</v>
      </c>
      <c r="H5" s="186" t="n">
        <f aca="false">Unif!B5*Unif!G5</f>
        <v>63.9466666666667</v>
      </c>
    </row>
    <row r="6" s="187" customFormat="true" ht="26.85" hidden="false" customHeight="true" outlineLevel="0" collapsed="false">
      <c r="A6" s="182" t="s">
        <v>222</v>
      </c>
      <c r="B6" s="183" t="n">
        <v>1</v>
      </c>
      <c r="C6" s="182" t="s">
        <v>156</v>
      </c>
      <c r="D6" s="184" t="n">
        <v>13.72</v>
      </c>
      <c r="E6" s="184" t="n">
        <v>13.93</v>
      </c>
      <c r="F6" s="184" t="n">
        <v>28.5</v>
      </c>
      <c r="G6" s="185" t="n">
        <f aca="false">AVERAGE(Unif!D6:F6)</f>
        <v>18.7166666666667</v>
      </c>
      <c r="H6" s="186" t="n">
        <f aca="false">Unif!B6*Unif!G6</f>
        <v>18.7166666666667</v>
      </c>
    </row>
    <row r="7" s="187" customFormat="true" ht="21" hidden="false" customHeight="true" outlineLevel="0" collapsed="false">
      <c r="A7" s="178" t="s">
        <v>223</v>
      </c>
      <c r="B7" s="178"/>
      <c r="C7" s="178"/>
      <c r="D7" s="178"/>
      <c r="E7" s="178"/>
      <c r="F7" s="178"/>
      <c r="G7" s="178"/>
      <c r="H7" s="186" t="n">
        <f aca="false">SUM(Unif!H4:H6)</f>
        <v>245.046666666667</v>
      </c>
    </row>
    <row r="8" customFormat="false" ht="21.75" hidden="false" customHeight="true" outlineLevel="0" collapsed="false">
      <c r="A8" s="188" t="s">
        <v>224</v>
      </c>
      <c r="B8" s="188"/>
      <c r="C8" s="188"/>
      <c r="D8" s="188"/>
      <c r="E8" s="188"/>
      <c r="F8" s="188"/>
      <c r="G8" s="188"/>
      <c r="H8" s="189" t="n">
        <f aca="false">Unif!H7/12</f>
        <v>20.4205555555556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7:G7"/>
    <mergeCell ref="A8:G8"/>
  </mergeCells>
  <printOptions headings="false" gridLines="false" gridLinesSet="true" horizontalCentered="true" verticalCentered="true"/>
  <pageMargins left="0.511805555555555" right="0.511805555555555" top="1.37777777777778" bottom="0.984027777777778" header="0.511805555555555" footer="0.511805555555555"/>
  <pageSetup paperSize="1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&amp;CPágina &amp;P&amp;RAnálise Repactuação 2017</oddHeader>
    <oddFooter>&amp;CPágina &amp;P&amp;R&amp;F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H4" activeCellId="0" sqref="H4"/>
    </sheetView>
  </sheetViews>
  <sheetFormatPr defaultRowHeight="12.8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11.14"/>
    <col collapsed="false" customWidth="true" hidden="false" outlineLevel="0" max="3" min="3" style="0" width="8.14"/>
    <col collapsed="false" customWidth="true" hidden="false" outlineLevel="0" max="6" min="4" style="0" width="16.41"/>
    <col collapsed="false" customWidth="true" hidden="false" outlineLevel="0" max="7" min="7" style="0" width="14.57"/>
    <col collapsed="false" customWidth="true" hidden="false" outlineLevel="0" max="8" min="8" style="0" width="9.38"/>
    <col collapsed="false" customWidth="true" hidden="false" outlineLevel="0" max="1025" min="9" style="0" width="8.67"/>
  </cols>
  <sheetData>
    <row r="1" customFormat="false" ht="12.8" hidden="false" customHeight="false" outlineLevel="0" collapsed="false">
      <c r="A1" s="119" t="s">
        <v>225</v>
      </c>
    </row>
    <row r="2" customFormat="false" ht="33.1" hidden="false" customHeight="false" outlineLevel="0" collapsed="false">
      <c r="D2" s="190" t="s">
        <v>226</v>
      </c>
      <c r="E2" s="190" t="s">
        <v>227</v>
      </c>
      <c r="F2" s="190" t="s">
        <v>228</v>
      </c>
    </row>
    <row r="3" customFormat="false" ht="41.2" hidden="false" customHeight="false" outlineLevel="0" collapsed="false">
      <c r="A3" s="179" t="s">
        <v>216</v>
      </c>
      <c r="B3" s="179" t="s">
        <v>217</v>
      </c>
      <c r="C3" s="179" t="s">
        <v>218</v>
      </c>
      <c r="D3" s="191" t="s">
        <v>118</v>
      </c>
      <c r="E3" s="191" t="s">
        <v>118</v>
      </c>
      <c r="F3" s="191" t="s">
        <v>118</v>
      </c>
      <c r="G3" s="192" t="s">
        <v>229</v>
      </c>
      <c r="H3" s="192" t="s">
        <v>230</v>
      </c>
    </row>
    <row r="4" customFormat="false" ht="12.8" hidden="false" customHeight="false" outlineLevel="0" collapsed="false">
      <c r="A4" s="182" t="s">
        <v>231</v>
      </c>
      <c r="B4" s="183" t="n">
        <v>1</v>
      </c>
      <c r="C4" s="183" t="s">
        <v>156</v>
      </c>
      <c r="D4" s="186" t="n">
        <v>499</v>
      </c>
      <c r="E4" s="186" t="n">
        <v>495</v>
      </c>
      <c r="F4" s="186" t="n">
        <v>389</v>
      </c>
      <c r="G4" s="186" t="n">
        <f aca="false">SUM('Transp Altern'!D4,'Transp Altern'!E4,'Transp Altern'!F4)/3</f>
        <v>461</v>
      </c>
      <c r="H4" s="193" t="n">
        <f aca="false">SUM('Transp Altern'!G4)</f>
        <v>461</v>
      </c>
    </row>
  </sheetData>
  <printOptions headings="false" gridLines="false" gridLinesSet="true" horizontalCentered="true" verticalCentered="true"/>
  <pageMargins left="0.511805555555555" right="0.511805555555555" top="1.37847222222222" bottom="0.984722222222222" header="0.315277777777778" footer="0.31527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&amp;CPágina &amp;P&amp;R&amp;F</oddHeader>
    <oddFooter>&amp;CPágina &amp;P&amp;RAnálise Repactuação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1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E50" activeCellId="0" sqref="E50"/>
    </sheetView>
  </sheetViews>
  <sheetFormatPr defaultRowHeight="12.8" zeroHeight="false" outlineLevelRow="0" outlineLevelCol="0"/>
  <cols>
    <col collapsed="false" customWidth="true" hidden="false" outlineLevel="0" max="1" min="1" style="0" width="71.69"/>
    <col collapsed="false" customWidth="true" hidden="false" outlineLevel="0" max="3" min="2" style="0" width="21.71"/>
    <col collapsed="false" customWidth="true" hidden="false" outlineLevel="0" max="4" min="4" style="0" width="19.14"/>
    <col collapsed="false" customWidth="true" hidden="false" outlineLevel="0" max="5" min="5" style="0" width="16.29"/>
    <col collapsed="false" customWidth="true" hidden="false" outlineLevel="0" max="1025" min="6" style="0" width="9.29"/>
  </cols>
  <sheetData>
    <row r="1" customFormat="false" ht="16.5" hidden="false" customHeight="true" outlineLevel="0" collapsed="false">
      <c r="A1" s="194" t="s">
        <v>232</v>
      </c>
      <c r="B1" s="194"/>
      <c r="C1" s="194"/>
      <c r="D1" s="194"/>
      <c r="E1" s="194"/>
    </row>
    <row r="2" customFormat="false" ht="13.5" hidden="false" customHeight="false" outlineLevel="0" collapsed="false">
      <c r="A2" s="194"/>
      <c r="B2" s="194"/>
      <c r="C2" s="194"/>
      <c r="D2" s="194"/>
      <c r="E2" s="194"/>
    </row>
    <row r="3" customFormat="false" ht="26.25" hidden="false" customHeight="false" outlineLevel="0" collapsed="false">
      <c r="A3" s="195" t="s">
        <v>233</v>
      </c>
      <c r="B3" s="196" t="s">
        <v>234</v>
      </c>
      <c r="C3" s="196" t="s">
        <v>235</v>
      </c>
      <c r="D3" s="196" t="s">
        <v>236</v>
      </c>
      <c r="E3" s="196" t="s">
        <v>237</v>
      </c>
    </row>
    <row r="4" customFormat="false" ht="12.75" hidden="false" customHeight="false" outlineLevel="0" collapsed="false">
      <c r="A4" s="197" t="s">
        <v>238</v>
      </c>
      <c r="B4" s="197"/>
      <c r="C4" s="197"/>
      <c r="D4" s="197"/>
      <c r="E4" s="197"/>
    </row>
    <row r="5" customFormat="false" ht="12.8" hidden="false" customHeight="false" outlineLevel="0" collapsed="false">
      <c r="A5" s="198" t="s">
        <v>239</v>
      </c>
      <c r="B5" s="199" t="n">
        <f aca="false">1/600</f>
        <v>0.00166666666666667</v>
      </c>
      <c r="C5" s="199" t="n">
        <f aca="false">'R$-m2'!B5*'R$-m2'!C47</f>
        <v>4.36000000000001</v>
      </c>
      <c r="D5" s="200" t="n">
        <f aca="false">Serv!C124</f>
        <v>3210.14443900396</v>
      </c>
      <c r="E5" s="201" t="n">
        <f aca="false">+'R$-m2'!D5*'R$-m2'!B5</f>
        <v>5.35024073167328</v>
      </c>
    </row>
    <row r="6" customFormat="false" ht="13.5" hidden="false" customHeight="false" outlineLevel="0" collapsed="false">
      <c r="A6" s="202" t="s">
        <v>240</v>
      </c>
      <c r="B6" s="202"/>
      <c r="C6" s="202"/>
      <c r="D6" s="202"/>
      <c r="E6" s="203" t="n">
        <f aca="false">'R$-m2'!E5</f>
        <v>5.35024073167328</v>
      </c>
    </row>
    <row r="7" customFormat="false" ht="13.5" hidden="false" customHeight="false" outlineLevel="0" collapsed="false">
      <c r="A7" s="204"/>
      <c r="B7" s="204"/>
      <c r="C7" s="204"/>
      <c r="D7" s="204"/>
      <c r="E7" s="204"/>
    </row>
    <row r="8" customFormat="false" ht="12.8" hidden="false" customHeight="false" outlineLevel="0" collapsed="false">
      <c r="A8" s="197" t="s">
        <v>241</v>
      </c>
      <c r="B8" s="197"/>
      <c r="C8" s="197"/>
      <c r="D8" s="197"/>
      <c r="E8" s="197"/>
    </row>
    <row r="9" customFormat="false" ht="12.8" hidden="false" customHeight="false" outlineLevel="0" collapsed="false">
      <c r="A9" s="198" t="s">
        <v>239</v>
      </c>
      <c r="B9" s="199" t="n">
        <f aca="false">1/600</f>
        <v>0.00166666666666667</v>
      </c>
      <c r="C9" s="199" t="n">
        <f aca="false">'R$-m2'!B9*'R$-m2'!C48</f>
        <v>1.50235</v>
      </c>
      <c r="D9" s="205" t="n">
        <f aca="false">Serv!C124</f>
        <v>3210.14443900396</v>
      </c>
      <c r="E9" s="201" t="n">
        <f aca="false">+'R$-m2'!D9*'R$-m2'!B9</f>
        <v>5.35024073167328</v>
      </c>
    </row>
    <row r="10" customFormat="false" ht="13.5" hidden="false" customHeight="false" outlineLevel="0" collapsed="false">
      <c r="A10" s="202" t="s">
        <v>242</v>
      </c>
      <c r="B10" s="202"/>
      <c r="C10" s="202"/>
      <c r="D10" s="202"/>
      <c r="E10" s="203" t="n">
        <f aca="false">'R$-m2'!E9</f>
        <v>5.35024073167328</v>
      </c>
    </row>
    <row r="11" customFormat="false" ht="12.8" hidden="false" customHeight="false" outlineLevel="0" collapsed="false">
      <c r="A11" s="202"/>
      <c r="B11" s="202"/>
      <c r="C11" s="202"/>
      <c r="D11" s="202"/>
      <c r="E11" s="203"/>
    </row>
    <row r="12" customFormat="false" ht="12.8" hidden="false" customHeight="false" outlineLevel="0" collapsed="false">
      <c r="A12" s="197" t="s">
        <v>243</v>
      </c>
      <c r="B12" s="197"/>
      <c r="C12" s="197"/>
      <c r="D12" s="197"/>
      <c r="E12" s="197"/>
    </row>
    <row r="13" customFormat="false" ht="12.8" hidden="false" customHeight="false" outlineLevel="0" collapsed="false">
      <c r="A13" s="198" t="s">
        <v>239</v>
      </c>
      <c r="B13" s="199" t="n">
        <f aca="false">1/330</f>
        <v>0.00303030303030303</v>
      </c>
      <c r="C13" s="206" t="n">
        <f aca="false">'R$-m2'!B13*'R$-m2'!C49</f>
        <v>1.11212121212121</v>
      </c>
      <c r="D13" s="205" t="n">
        <f aca="false">Serv!C124</f>
        <v>3210.14443900396</v>
      </c>
      <c r="E13" s="201" t="n">
        <f aca="false">+'R$-m2'!D13*'R$-m2'!B13</f>
        <v>9.72771042122413</v>
      </c>
    </row>
    <row r="14" customFormat="false" ht="12.8" hidden="false" customHeight="false" outlineLevel="0" collapsed="false">
      <c r="A14" s="202" t="s">
        <v>244</v>
      </c>
      <c r="B14" s="202"/>
      <c r="C14" s="202"/>
      <c r="D14" s="202"/>
      <c r="E14" s="203" t="n">
        <f aca="false">'R$-m2'!E13</f>
        <v>9.72771042122413</v>
      </c>
    </row>
    <row r="15" customFormat="false" ht="12.8" hidden="false" customHeight="false" outlineLevel="0" collapsed="false">
      <c r="A15" s="207"/>
      <c r="B15" s="207"/>
      <c r="C15" s="207"/>
      <c r="D15" s="207"/>
      <c r="E15" s="207"/>
    </row>
    <row r="16" customFormat="false" ht="12.8" hidden="false" customHeight="false" outlineLevel="0" collapsed="false">
      <c r="A16" s="197" t="s">
        <v>245</v>
      </c>
      <c r="B16" s="197"/>
      <c r="C16" s="197"/>
      <c r="D16" s="197"/>
      <c r="E16" s="197"/>
    </row>
    <row r="17" customFormat="false" ht="12.8" hidden="false" customHeight="false" outlineLevel="0" collapsed="false">
      <c r="A17" s="198" t="s">
        <v>239</v>
      </c>
      <c r="B17" s="199" t="n">
        <f aca="false">1/1350</f>
        <v>0.000740740740740741</v>
      </c>
      <c r="C17" s="206" t="n">
        <f aca="false">'R$-m2'!B17*'R$-m2'!C50</f>
        <v>0.0155555555555556</v>
      </c>
      <c r="D17" s="200" t="n">
        <f aca="false">Serv!C124</f>
        <v>3210.14443900396</v>
      </c>
      <c r="E17" s="201" t="n">
        <f aca="false">+'R$-m2'!D17*'R$-m2'!B17</f>
        <v>2.37788476963257</v>
      </c>
    </row>
    <row r="18" customFormat="false" ht="12.8" hidden="false" customHeight="false" outlineLevel="0" collapsed="false">
      <c r="A18" s="202" t="s">
        <v>246</v>
      </c>
      <c r="B18" s="202"/>
      <c r="C18" s="202"/>
      <c r="D18" s="202"/>
      <c r="E18" s="203" t="n">
        <f aca="false">'R$-m2'!E17</f>
        <v>2.37788476963257</v>
      </c>
    </row>
    <row r="19" customFormat="false" ht="12.8" hidden="false" customHeight="false" outlineLevel="0" collapsed="false">
      <c r="A19" s="208"/>
      <c r="B19" s="199"/>
      <c r="C19" s="199"/>
      <c r="D19" s="200"/>
      <c r="E19" s="201"/>
    </row>
    <row r="20" customFormat="false" ht="12.8" hidden="false" customHeight="false" outlineLevel="0" collapsed="false">
      <c r="A20" s="209" t="s">
        <v>247</v>
      </c>
      <c r="B20" s="210"/>
      <c r="C20" s="210"/>
      <c r="D20" s="210"/>
      <c r="E20" s="211"/>
    </row>
    <row r="21" customFormat="false" ht="12.8" hidden="false" customHeight="false" outlineLevel="0" collapsed="false">
      <c r="A21" s="198" t="s">
        <v>239</v>
      </c>
      <c r="B21" s="199" t="n">
        <f aca="false">1/800</f>
        <v>0.00125</v>
      </c>
      <c r="C21" s="206" t="n">
        <f aca="false">'R$-m2'!B21*'R$-m2'!C51</f>
        <v>3.51625</v>
      </c>
      <c r="D21" s="200" t="n">
        <f aca="false">Serv!C124</f>
        <v>3210.14443900396</v>
      </c>
      <c r="E21" s="201" t="n">
        <f aca="false">+'R$-m2'!D21*'R$-m2'!B21</f>
        <v>4.01268054875495</v>
      </c>
    </row>
    <row r="22" customFormat="false" ht="12.8" hidden="false" customHeight="false" outlineLevel="0" collapsed="false">
      <c r="A22" s="202" t="s">
        <v>248</v>
      </c>
      <c r="B22" s="202"/>
      <c r="C22" s="202"/>
      <c r="D22" s="202"/>
      <c r="E22" s="203" t="n">
        <f aca="false">'R$-m2'!E21</f>
        <v>4.01268054875495</v>
      </c>
    </row>
    <row r="23" customFormat="false" ht="12.8" hidden="false" customHeight="false" outlineLevel="0" collapsed="false">
      <c r="A23" s="207"/>
      <c r="B23" s="207"/>
      <c r="C23" s="207"/>
      <c r="D23" s="207"/>
      <c r="E23" s="207"/>
    </row>
    <row r="24" customFormat="false" ht="12.75" hidden="false" customHeight="false" outlineLevel="0" collapsed="false">
      <c r="A24" s="197" t="s">
        <v>249</v>
      </c>
      <c r="B24" s="197"/>
      <c r="C24" s="197"/>
      <c r="D24" s="197"/>
      <c r="E24" s="197"/>
    </row>
    <row r="25" customFormat="false" ht="12.75" hidden="false" customHeight="false" outlineLevel="0" collapsed="false">
      <c r="A25" s="198" t="s">
        <v>239</v>
      </c>
      <c r="B25" s="212" t="n">
        <f aca="false">1/6000</f>
        <v>0.000166666666666667</v>
      </c>
      <c r="C25" s="212" t="n">
        <f aca="false">'R$-m2'!B25*'R$-m2'!C52</f>
        <v>0.0533333333333333</v>
      </c>
      <c r="D25" s="213" t="n">
        <f aca="false">Serv!C124</f>
        <v>3210.14443900396</v>
      </c>
      <c r="E25" s="214" t="n">
        <f aca="false">+'R$-m2'!D25*'R$-m2'!B25</f>
        <v>0.535024073167328</v>
      </c>
    </row>
    <row r="26" customFormat="false" ht="12.8" hidden="false" customHeight="false" outlineLevel="0" collapsed="false">
      <c r="A26" s="202" t="s">
        <v>250</v>
      </c>
      <c r="B26" s="202"/>
      <c r="C26" s="202"/>
      <c r="D26" s="202"/>
      <c r="E26" s="203" t="n">
        <f aca="false">'R$-m2'!E25</f>
        <v>0.535024073167328</v>
      </c>
    </row>
    <row r="27" customFormat="false" ht="12.8" hidden="false" customHeight="false" outlineLevel="0" collapsed="false">
      <c r="A27" s="215"/>
      <c r="B27" s="215"/>
      <c r="C27" s="215"/>
      <c r="D27" s="215"/>
      <c r="E27" s="203"/>
    </row>
    <row r="28" customFormat="false" ht="12.8" hidden="false" customHeight="false" outlineLevel="0" collapsed="false">
      <c r="A28" s="197" t="s">
        <v>251</v>
      </c>
      <c r="B28" s="197"/>
      <c r="C28" s="197"/>
      <c r="D28" s="197"/>
      <c r="E28" s="197"/>
    </row>
    <row r="29" customFormat="false" ht="12.8" hidden="false" customHeight="false" outlineLevel="0" collapsed="false">
      <c r="A29" s="198" t="s">
        <v>239</v>
      </c>
      <c r="B29" s="212" t="n">
        <f aca="false">1/100000</f>
        <v>1E-005</v>
      </c>
      <c r="C29" s="212" t="n">
        <f aca="false">'R$-m2'!B29*'R$-m2'!C53</f>
        <v>0.0980108</v>
      </c>
      <c r="D29" s="213" t="n">
        <f aca="false">Serv!C124</f>
        <v>3210.14443900396</v>
      </c>
      <c r="E29" s="214" t="n">
        <f aca="false">+'R$-m2'!D29*'R$-m2'!B29</f>
        <v>0.0321014443900396</v>
      </c>
    </row>
    <row r="30" customFormat="false" ht="12.8" hidden="false" customHeight="false" outlineLevel="0" collapsed="false">
      <c r="A30" s="202" t="s">
        <v>252</v>
      </c>
      <c r="B30" s="202"/>
      <c r="C30" s="202"/>
      <c r="D30" s="202"/>
      <c r="E30" s="203" t="n">
        <f aca="false">'R$-m2'!E29</f>
        <v>0.0321014443900396</v>
      </c>
    </row>
    <row r="31" customFormat="false" ht="13.5" hidden="false" customHeight="false" outlineLevel="0" collapsed="false">
      <c r="A31" s="204"/>
      <c r="B31" s="204"/>
      <c r="C31" s="204"/>
      <c r="D31" s="204"/>
      <c r="E31" s="204"/>
    </row>
    <row r="32" customFormat="false" ht="12.8" hidden="false" customHeight="false" outlineLevel="0" collapsed="false">
      <c r="A32" s="197" t="s">
        <v>253</v>
      </c>
      <c r="B32" s="197"/>
      <c r="C32" s="197"/>
      <c r="D32" s="197"/>
      <c r="E32" s="197"/>
    </row>
    <row r="33" customFormat="false" ht="12.75" hidden="false" customHeight="false" outlineLevel="0" collapsed="false">
      <c r="A33" s="198" t="s">
        <v>239</v>
      </c>
      <c r="B33" s="212" t="n">
        <f aca="false">1/1200</f>
        <v>0.000833333333333333</v>
      </c>
      <c r="C33" s="212" t="n">
        <f aca="false">'R$-m2'!B33*'R$-m2'!C54</f>
        <v>0.375</v>
      </c>
      <c r="D33" s="213" t="n">
        <f aca="false">Serv!C124</f>
        <v>3210.14443900396</v>
      </c>
      <c r="E33" s="214" t="n">
        <f aca="false">+'R$-m2'!D33*'R$-m2'!B33</f>
        <v>2.67512036583663</v>
      </c>
      <c r="F33" s="216"/>
    </row>
    <row r="34" customFormat="false" ht="13.5" hidden="false" customHeight="false" outlineLevel="0" collapsed="false">
      <c r="A34" s="202" t="s">
        <v>254</v>
      </c>
      <c r="B34" s="202"/>
      <c r="C34" s="202"/>
      <c r="D34" s="202"/>
      <c r="E34" s="203" t="n">
        <f aca="false">'R$-m2'!E33</f>
        <v>2.67512036583663</v>
      </c>
      <c r="F34" s="216"/>
    </row>
    <row r="35" customFormat="false" ht="13.5" hidden="false" customHeight="false" outlineLevel="0" collapsed="false">
      <c r="A35" s="207"/>
      <c r="B35" s="207"/>
      <c r="C35" s="207"/>
      <c r="D35" s="207"/>
      <c r="E35" s="207"/>
      <c r="F35" s="216"/>
    </row>
    <row r="36" customFormat="false" ht="12.75" hidden="false" customHeight="false" outlineLevel="0" collapsed="false">
      <c r="A36" s="197" t="s">
        <v>255</v>
      </c>
      <c r="B36" s="197"/>
      <c r="C36" s="197"/>
      <c r="D36" s="197"/>
      <c r="E36" s="197"/>
    </row>
    <row r="37" customFormat="false" ht="12.8" hidden="false" customHeight="false" outlineLevel="0" collapsed="false">
      <c r="A37" s="198" t="s">
        <v>239</v>
      </c>
      <c r="B37" s="217" t="n">
        <f aca="false">(1/110)*8*(1/1148.4)</f>
        <v>6.33292169342326E-005</v>
      </c>
      <c r="C37" s="218" t="n">
        <f aca="false">'R$-m2'!B37*'R$-m2'!C55</f>
        <v>0.000471802666160033</v>
      </c>
      <c r="D37" s="213" t="n">
        <f aca="false">Serv!C124</f>
        <v>3210.14443900396</v>
      </c>
      <c r="E37" s="214" t="n">
        <f aca="false">+'R$-m2'!D37*'R$-m2'!B37</f>
        <v>0.203295933567902</v>
      </c>
    </row>
    <row r="38" customFormat="false" ht="12.95" hidden="false" customHeight="true" outlineLevel="0" collapsed="false">
      <c r="A38" s="202" t="s">
        <v>256</v>
      </c>
      <c r="B38" s="202"/>
      <c r="C38" s="202"/>
      <c r="D38" s="202"/>
      <c r="E38" s="203" t="n">
        <f aca="false">'R$-m2'!E37</f>
        <v>0.203295933567902</v>
      </c>
    </row>
    <row r="39" customFormat="false" ht="12.95" hidden="false" customHeight="true" outlineLevel="0" collapsed="false">
      <c r="A39" s="207"/>
      <c r="B39" s="207"/>
      <c r="C39" s="207"/>
      <c r="D39" s="207"/>
      <c r="E39" s="207"/>
    </row>
    <row r="40" customFormat="false" ht="12.95" hidden="false" customHeight="true" outlineLevel="0" collapsed="false">
      <c r="A40" s="197" t="s">
        <v>257</v>
      </c>
      <c r="B40" s="197"/>
      <c r="C40" s="197"/>
      <c r="D40" s="197"/>
      <c r="E40" s="197"/>
    </row>
    <row r="41" customFormat="false" ht="12.8" hidden="false" customHeight="false" outlineLevel="0" collapsed="false">
      <c r="A41" s="198" t="s">
        <v>239</v>
      </c>
      <c r="B41" s="219" t="n">
        <f aca="false">(1/220)*16*(1/191.4)</f>
        <v>0.000379975301605396</v>
      </c>
      <c r="C41" s="218" t="n">
        <f aca="false">'R$-m2'!B41*'R$-m2'!C56</f>
        <v>0.0105177163484374</v>
      </c>
      <c r="D41" s="213" t="n">
        <f aca="false">Serv!C124</f>
        <v>3210.14443900396</v>
      </c>
      <c r="E41" s="214" t="n">
        <f aca="false">+'R$-m2'!D41*'R$-m2'!B41</f>
        <v>1.21977560140742</v>
      </c>
    </row>
    <row r="42" customFormat="false" ht="13.5" hidden="false" customHeight="false" outlineLevel="0" collapsed="false">
      <c r="A42" s="202" t="s">
        <v>258</v>
      </c>
      <c r="B42" s="202"/>
      <c r="C42" s="202"/>
      <c r="D42" s="202"/>
      <c r="E42" s="203" t="n">
        <f aca="false">'R$-m2'!E41</f>
        <v>1.21977560140742</v>
      </c>
    </row>
    <row r="43" customFormat="false" ht="13.5" hidden="false" customHeight="false" outlineLevel="0" collapsed="false">
      <c r="A43" s="220"/>
      <c r="B43" s="220"/>
      <c r="C43" s="221"/>
      <c r="D43" s="220"/>
      <c r="E43" s="220"/>
    </row>
    <row r="44" customFormat="false" ht="13.5" hidden="false" customHeight="false" outlineLevel="0" collapsed="false">
      <c r="A44" s="222" t="s">
        <v>259</v>
      </c>
      <c r="B44" s="222"/>
      <c r="C44" s="222"/>
      <c r="D44" s="222"/>
    </row>
    <row r="45" customFormat="false" ht="13.5" hidden="false" customHeight="true" outlineLevel="0" collapsed="false">
      <c r="A45" s="223" t="s">
        <v>233</v>
      </c>
      <c r="B45" s="224" t="s">
        <v>260</v>
      </c>
      <c r="C45" s="223" t="s">
        <v>261</v>
      </c>
      <c r="D45" s="224" t="s">
        <v>262</v>
      </c>
      <c r="G45" s="225"/>
    </row>
    <row r="46" customFormat="false" ht="13.5" hidden="false" customHeight="false" outlineLevel="0" collapsed="false">
      <c r="A46" s="223"/>
      <c r="B46" s="224"/>
      <c r="C46" s="223"/>
      <c r="D46" s="224"/>
    </row>
    <row r="47" customFormat="false" ht="12.8" hidden="false" customHeight="false" outlineLevel="0" collapsed="false">
      <c r="A47" s="226" t="s">
        <v>238</v>
      </c>
      <c r="B47" s="227" t="n">
        <f aca="false">'R$-m2'!E5</f>
        <v>5.35024073167328</v>
      </c>
      <c r="C47" s="228" t="n">
        <v>2616</v>
      </c>
      <c r="D47" s="229" t="n">
        <f aca="false">'R$-m2'!B47*'R$-m2'!C47</f>
        <v>13996.2297540573</v>
      </c>
    </row>
    <row r="48" customFormat="false" ht="12.8" hidden="false" customHeight="false" outlineLevel="0" collapsed="false">
      <c r="A48" s="230" t="s">
        <v>241</v>
      </c>
      <c r="B48" s="231" t="n">
        <f aca="false">'R$-m2'!E9</f>
        <v>5.35024073167328</v>
      </c>
      <c r="C48" s="232" t="n">
        <v>901.41</v>
      </c>
      <c r="D48" s="233" t="n">
        <f aca="false">'R$-m2'!B48*'R$-m2'!C48</f>
        <v>4822.76049793761</v>
      </c>
    </row>
    <row r="49" customFormat="false" ht="12.8" hidden="false" customHeight="false" outlineLevel="0" collapsed="false">
      <c r="A49" s="230" t="s">
        <v>243</v>
      </c>
      <c r="B49" s="231" t="n">
        <f aca="false">'R$-m2'!E13</f>
        <v>9.72771042122413</v>
      </c>
      <c r="C49" s="232" t="n">
        <v>367</v>
      </c>
      <c r="D49" s="229" t="n">
        <f aca="false">'R$-m2'!B49*'R$-m2'!C49</f>
        <v>3570.06972458926</v>
      </c>
    </row>
    <row r="50" customFormat="false" ht="12.8" hidden="false" customHeight="false" outlineLevel="0" collapsed="false">
      <c r="A50" s="230" t="s">
        <v>245</v>
      </c>
      <c r="B50" s="231" t="n">
        <f aca="false">'R$-m2'!E17</f>
        <v>2.37788476963257</v>
      </c>
      <c r="C50" s="232" t="n">
        <v>21</v>
      </c>
      <c r="D50" s="229" t="n">
        <f aca="false">'R$-m2'!B50*'R$-m2'!C50</f>
        <v>49.9355801622839</v>
      </c>
    </row>
    <row r="51" customFormat="false" ht="12.8" hidden="false" customHeight="false" outlineLevel="0" collapsed="false">
      <c r="A51" s="230" t="s">
        <v>247</v>
      </c>
      <c r="B51" s="231" t="n">
        <f aca="false">'R$-m2'!E21</f>
        <v>4.01268054875495</v>
      </c>
      <c r="C51" s="232" t="n">
        <v>2813</v>
      </c>
      <c r="D51" s="229" t="n">
        <f aca="false">'R$-m2'!B51*'R$-m2'!C51</f>
        <v>11287.6703836477</v>
      </c>
    </row>
    <row r="52" customFormat="false" ht="12.8" hidden="false" customHeight="false" outlineLevel="0" collapsed="false">
      <c r="A52" s="230" t="s">
        <v>249</v>
      </c>
      <c r="B52" s="231" t="n">
        <f aca="false">'R$-m2'!E25</f>
        <v>0.535024073167328</v>
      </c>
      <c r="C52" s="232" t="n">
        <v>320</v>
      </c>
      <c r="D52" s="229" t="n">
        <f aca="false">'R$-m2'!B52*'R$-m2'!C52</f>
        <v>171.207703413545</v>
      </c>
    </row>
    <row r="53" customFormat="false" ht="12.8" hidden="false" customHeight="false" outlineLevel="0" collapsed="false">
      <c r="A53" s="230" t="s">
        <v>251</v>
      </c>
      <c r="B53" s="231" t="n">
        <f aca="false">'R$-m2'!E29</f>
        <v>0.0321014443900396</v>
      </c>
      <c r="C53" s="232" t="n">
        <v>9801.08</v>
      </c>
      <c r="D53" s="229" t="n">
        <f aca="false">'R$-m2'!B53*'R$-m2'!C53</f>
        <v>314.62882458233</v>
      </c>
    </row>
    <row r="54" customFormat="false" ht="12.8" hidden="false" customHeight="false" outlineLevel="0" collapsed="false">
      <c r="A54" s="234" t="s">
        <v>253</v>
      </c>
      <c r="B54" s="231" t="n">
        <f aca="false">'R$-m2'!E33</f>
        <v>2.67512036583663</v>
      </c>
      <c r="C54" s="232" t="n">
        <v>450</v>
      </c>
      <c r="D54" s="229" t="n">
        <f aca="false">'R$-m2'!B54*'R$-m2'!C54</f>
        <v>1203.80416462649</v>
      </c>
    </row>
    <row r="55" customFormat="false" ht="12.75" hidden="false" customHeight="false" outlineLevel="0" collapsed="false">
      <c r="A55" s="235" t="s">
        <v>255</v>
      </c>
      <c r="B55" s="231" t="n">
        <f aca="false">'R$-m2'!E37</f>
        <v>0.203295933567902</v>
      </c>
      <c r="C55" s="232" t="n">
        <v>7.45</v>
      </c>
      <c r="D55" s="229" t="n">
        <f aca="false">'R$-m2'!B55*'R$-m2'!C55</f>
        <v>1.51455470508087</v>
      </c>
    </row>
    <row r="56" customFormat="false" ht="12.8" hidden="false" customHeight="false" outlineLevel="0" collapsed="false">
      <c r="A56" s="235" t="s">
        <v>257</v>
      </c>
      <c r="B56" s="231" t="n">
        <f aca="false">'R$-m2'!E42</f>
        <v>1.21977560140742</v>
      </c>
      <c r="C56" s="232" t="n">
        <v>27.68</v>
      </c>
      <c r="D56" s="229" t="n">
        <f aca="false">'R$-m2'!B56*'R$-m2'!C56</f>
        <v>33.7633886469573</v>
      </c>
    </row>
    <row r="57" customFormat="false" ht="12.8" hidden="false" customHeight="false" outlineLevel="0" collapsed="false">
      <c r="A57" s="236" t="s">
        <v>263</v>
      </c>
      <c r="B57" s="236"/>
      <c r="C57" s="236"/>
      <c r="D57" s="237" t="n">
        <f aca="false">SUM('R$-m2'!D47:D56)</f>
        <v>35451.5845763685</v>
      </c>
      <c r="E57" s="238"/>
    </row>
    <row r="58" customFormat="false" ht="12.8" hidden="false" customHeight="false" outlineLevel="0" collapsed="false">
      <c r="A58" s="236" t="s">
        <v>264</v>
      </c>
      <c r="B58" s="236"/>
      <c r="C58" s="236"/>
      <c r="D58" s="237" t="n">
        <f aca="false">'R$-m2'!D57*12</f>
        <v>425419.014916423</v>
      </c>
    </row>
    <row r="60" customFormat="false" ht="17.45" hidden="false" customHeight="true" outlineLevel="0" collapsed="false">
      <c r="A60" s="239" t="s">
        <v>265</v>
      </c>
      <c r="B60" s="239"/>
      <c r="C60" s="239"/>
      <c r="D60" s="239"/>
      <c r="E60" s="239"/>
    </row>
    <row r="61" customFormat="false" ht="12.75" hidden="false" customHeight="false" outlineLevel="0" collapsed="false"/>
    <row r="62" customFormat="false" ht="12.75" hidden="false" customHeight="false" outlineLevel="0" collapsed="false"/>
  </sheetData>
  <mergeCells count="32">
    <mergeCell ref="A1:E2"/>
    <mergeCell ref="A4:E4"/>
    <mergeCell ref="A6:D6"/>
    <mergeCell ref="A7:E7"/>
    <mergeCell ref="A8:E8"/>
    <mergeCell ref="A10:D10"/>
    <mergeCell ref="A12:E12"/>
    <mergeCell ref="A14:D14"/>
    <mergeCell ref="A16:E16"/>
    <mergeCell ref="A18:D18"/>
    <mergeCell ref="A22:D22"/>
    <mergeCell ref="A24:E24"/>
    <mergeCell ref="A26:D26"/>
    <mergeCell ref="A28:E28"/>
    <mergeCell ref="A30:D30"/>
    <mergeCell ref="A31:E31"/>
    <mergeCell ref="A32:E32"/>
    <mergeCell ref="A34:D34"/>
    <mergeCell ref="A35:E35"/>
    <mergeCell ref="A36:E36"/>
    <mergeCell ref="A38:D38"/>
    <mergeCell ref="A39:E39"/>
    <mergeCell ref="A40:E40"/>
    <mergeCell ref="A42:D42"/>
    <mergeCell ref="A44:D44"/>
    <mergeCell ref="A45:A46"/>
    <mergeCell ref="B45:B46"/>
    <mergeCell ref="C45:C46"/>
    <mergeCell ref="D45:D46"/>
    <mergeCell ref="A57:C57"/>
    <mergeCell ref="A58:C58"/>
    <mergeCell ref="A60:E60"/>
  </mergeCells>
  <printOptions headings="false" gridLines="false" gridLinesSet="true" horizontalCentered="true" verticalCentered="true"/>
  <pageMargins left="0.511805555555555" right="0.511805555555555" top="1.37777777777778" bottom="0.984027777777778" header="0.511805555555555" footer="0.511805555555555"/>
  <pageSetup paperSize="1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&amp;CPágina &amp;P&amp;RAnálise Repactuação 2017</oddHeader>
    <oddFooter>&amp;CPágina &amp;P&amp;RAnálise Repactuação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1849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2016-07-26T18:45:33Z</dcterms:created>
  <dc:creator>Fabrício Geraldo dos Santos Rodrigues</dc:creator>
  <dc:description/>
  <dc:language>pt-BR</dc:language>
  <cp:lastModifiedBy/>
  <cp:lastPrinted>2017-05-08T16:47:53Z</cp:lastPrinted>
  <dcterms:modified xsi:type="dcterms:W3CDTF">2017-07-03T10:46:02Z</dcterms:modified>
  <cp:revision>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